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MU GROUP\Downloads\DANIEL G. CURSO CLOUDE\productos\gratis-lista-precios\"/>
    </mc:Choice>
  </mc:AlternateContent>
  <xr:revisionPtr revIDLastSave="0" documentId="13_ncr:1_{DD6EDD0B-28F6-49C6-80E0-D1922C5F8548}" xr6:coauthVersionLast="47" xr6:coauthVersionMax="47" xr10:uidLastSave="{00000000-0000-0000-0000-000000000000}"/>
  <bookViews>
    <workbookView xWindow="-120" yWindow="-120" windowWidth="20730" windowHeight="11160" xr2:uid="{5706F097-A24C-4B66-9B1D-9AC30C6495AB}"/>
  </bookViews>
  <sheets>
    <sheet name="Inicio" sheetId="1" r:id="rId1"/>
    <sheet name="Mis datos" sheetId="2" r:id="rId2"/>
    <sheet name="Productos" sheetId="3" r:id="rId3"/>
    <sheet name="Lista para WhatsApp" sheetId="4" r:id="rId4"/>
    <sheet name="Catálogo" sheetId="5" r:id="rId5"/>
  </sheets>
  <definedNames>
    <definedName name="_xlnm.Print_Area" localSheetId="4">Catálogo!$B$2:$C$67</definedName>
    <definedName name="Entrega">'Mis datos'!$C$8</definedName>
    <definedName name="Fono">'Mis datos'!$C$6</definedName>
    <definedName name="Horario">'Mis datos'!$C$7</definedName>
    <definedName name="ListaSiNo">TSiNo[Disponible]</definedName>
    <definedName name="Negocio">'Mis datos'!$C$5</definedName>
    <definedName name="Pagos">'Mis datos'!$C$9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7" i="5" l="1"/>
  <c r="B66" i="5"/>
  <c r="B3" i="5"/>
  <c r="B2" i="5"/>
  <c r="B7" i="4"/>
  <c r="B6" i="4"/>
  <c r="B5" i="4"/>
  <c r="K6" i="3"/>
  <c r="K7" i="3"/>
  <c r="K8" i="3"/>
  <c r="K9" i="3"/>
  <c r="K10" i="3"/>
  <c r="K11" i="3"/>
  <c r="K12" i="3"/>
  <c r="K13" i="3"/>
  <c r="H6" i="3"/>
  <c r="I6" i="3" s="1"/>
  <c r="B6" i="5" s="1"/>
  <c r="H7" i="3"/>
  <c r="J7" i="3" s="1"/>
  <c r="H8" i="3"/>
  <c r="J8" i="3" s="1"/>
  <c r="H9" i="3"/>
  <c r="J9" i="3" s="1"/>
  <c r="H10" i="3"/>
  <c r="J10" i="3" s="1"/>
  <c r="H11" i="3"/>
  <c r="J11" i="3" s="1"/>
  <c r="H12" i="3"/>
  <c r="J12" i="3" s="1"/>
  <c r="H13" i="3"/>
  <c r="J13" i="3" s="1"/>
  <c r="C6" i="5" l="1"/>
  <c r="J6" i="3"/>
  <c r="I13" i="3"/>
  <c r="I12" i="3"/>
  <c r="I11" i="3"/>
  <c r="I10" i="3"/>
  <c r="I9" i="3"/>
  <c r="I8" i="3"/>
  <c r="I7" i="3"/>
  <c r="C63" i="5" l="1"/>
  <c r="C64" i="5"/>
  <c r="B64" i="5"/>
  <c r="C62" i="5"/>
  <c r="B63" i="5"/>
  <c r="C61" i="5"/>
  <c r="B62" i="5"/>
  <c r="B60" i="5"/>
  <c r="B61" i="5"/>
  <c r="C60" i="5"/>
  <c r="C58" i="5"/>
  <c r="C59" i="5"/>
  <c r="B59" i="5"/>
  <c r="C57" i="5"/>
  <c r="B58" i="5"/>
  <c r="C56" i="5"/>
  <c r="B57" i="5"/>
  <c r="C55" i="5"/>
  <c r="B56" i="5"/>
  <c r="C54" i="5"/>
  <c r="B55" i="5"/>
  <c r="C53" i="5"/>
  <c r="B54" i="5"/>
  <c r="C52" i="5"/>
  <c r="B53" i="5"/>
  <c r="C51" i="5"/>
  <c r="B52" i="5"/>
  <c r="C50" i="5"/>
  <c r="B51" i="5"/>
  <c r="C49" i="5"/>
  <c r="B50" i="5"/>
  <c r="C48" i="5"/>
  <c r="B49" i="5"/>
  <c r="C47" i="5"/>
  <c r="B48" i="5"/>
  <c r="C46" i="5"/>
  <c r="B47" i="5"/>
  <c r="C45" i="5"/>
  <c r="B46" i="5"/>
  <c r="C44" i="5"/>
  <c r="B45" i="5"/>
  <c r="C43" i="5"/>
  <c r="B44" i="5"/>
  <c r="C42" i="5"/>
  <c r="B43" i="5"/>
  <c r="C41" i="5"/>
  <c r="B42" i="5"/>
  <c r="C40" i="5"/>
  <c r="B41" i="5"/>
  <c r="C39" i="5"/>
  <c r="B40" i="5"/>
  <c r="C38" i="5"/>
  <c r="B39" i="5"/>
  <c r="C37" i="5"/>
  <c r="B38" i="5"/>
  <c r="C36" i="5"/>
  <c r="B37" i="5"/>
  <c r="C35" i="5"/>
  <c r="B36" i="5"/>
  <c r="C34" i="5"/>
  <c r="B35" i="5"/>
  <c r="C33" i="5"/>
  <c r="B34" i="5"/>
  <c r="C32" i="5"/>
  <c r="B33" i="5"/>
  <c r="B7" i="5"/>
  <c r="B32" i="5"/>
  <c r="C31" i="5"/>
  <c r="B31" i="5"/>
  <c r="C30" i="5"/>
  <c r="B30" i="5"/>
  <c r="C29" i="5"/>
  <c r="B29" i="5"/>
  <c r="C28" i="5"/>
  <c r="B28" i="5"/>
  <c r="C27" i="5"/>
  <c r="B27" i="5"/>
  <c r="C26" i="5"/>
  <c r="B26" i="5"/>
  <c r="C25" i="5"/>
  <c r="B25" i="5"/>
  <c r="C24" i="5"/>
  <c r="B24" i="5"/>
  <c r="C23" i="5"/>
  <c r="B23" i="5"/>
  <c r="C22" i="5"/>
  <c r="B22" i="5"/>
  <c r="C21" i="5"/>
  <c r="B21" i="5"/>
  <c r="C20" i="5"/>
  <c r="B20" i="5"/>
  <c r="C19" i="5"/>
  <c r="B19" i="5"/>
  <c r="C18" i="5"/>
  <c r="B18" i="5"/>
  <c r="C17" i="5"/>
  <c r="B17" i="5"/>
  <c r="C16" i="5"/>
  <c r="B16" i="5"/>
  <c r="C15" i="5"/>
  <c r="B15" i="5"/>
  <c r="C14" i="5"/>
  <c r="B14" i="5"/>
  <c r="C13" i="5"/>
  <c r="B13" i="5"/>
  <c r="C12" i="5"/>
  <c r="B12" i="5"/>
  <c r="C11" i="5"/>
  <c r="B11" i="5"/>
  <c r="C10" i="5"/>
  <c r="B10" i="5"/>
  <c r="C9" i="5"/>
  <c r="B9" i="5"/>
  <c r="C8" i="5"/>
  <c r="B8" i="5"/>
  <c r="C7" i="5"/>
  <c r="B5" i="5"/>
  <c r="C5" i="5"/>
  <c r="B127" i="4"/>
  <c r="B125" i="4"/>
  <c r="B126" i="4"/>
  <c r="B123" i="4"/>
  <c r="B124" i="4"/>
  <c r="B121" i="4"/>
  <c r="B122" i="4"/>
  <c r="B119" i="4"/>
  <c r="B120" i="4"/>
  <c r="B117" i="4"/>
  <c r="B118" i="4"/>
  <c r="B115" i="4"/>
  <c r="B116" i="4"/>
  <c r="B113" i="4"/>
  <c r="B114" i="4"/>
  <c r="B111" i="4"/>
  <c r="B112" i="4"/>
  <c r="B109" i="4"/>
  <c r="B110" i="4"/>
  <c r="B107" i="4"/>
  <c r="B108" i="4"/>
  <c r="B105" i="4"/>
  <c r="B106" i="4"/>
  <c r="B104" i="4"/>
  <c r="B102" i="4"/>
  <c r="B103" i="4"/>
  <c r="B100" i="4"/>
  <c r="B101" i="4"/>
  <c r="B98" i="4"/>
  <c r="B99" i="4"/>
  <c r="B96" i="4"/>
  <c r="B97" i="4"/>
  <c r="B94" i="4"/>
  <c r="B95" i="4"/>
  <c r="B92" i="4"/>
  <c r="B93" i="4"/>
  <c r="B90" i="4"/>
  <c r="B91" i="4"/>
  <c r="B88" i="4"/>
  <c r="B89" i="4"/>
  <c r="B86" i="4"/>
  <c r="B87" i="4"/>
  <c r="B84" i="4"/>
  <c r="B85" i="4"/>
  <c r="B82" i="4"/>
  <c r="B83" i="4"/>
  <c r="B80" i="4"/>
  <c r="B81" i="4"/>
  <c r="B78" i="4"/>
  <c r="B79" i="4"/>
  <c r="B76" i="4"/>
  <c r="B77" i="4"/>
  <c r="B74" i="4"/>
  <c r="B75" i="4"/>
  <c r="B72" i="4"/>
  <c r="B73" i="4"/>
  <c r="B70" i="4"/>
  <c r="B71" i="4"/>
  <c r="B68" i="4"/>
  <c r="B69" i="4"/>
  <c r="B66" i="4"/>
  <c r="B67" i="4"/>
  <c r="B64" i="4"/>
  <c r="B65" i="4"/>
  <c r="B62" i="4"/>
  <c r="B63" i="4"/>
  <c r="B60" i="4"/>
  <c r="B61" i="4"/>
  <c r="B58" i="4"/>
  <c r="B59" i="4"/>
  <c r="B56" i="4"/>
  <c r="B57" i="4"/>
  <c r="B54" i="4"/>
  <c r="B55" i="4"/>
  <c r="B52" i="4"/>
  <c r="B53" i="4"/>
  <c r="B50" i="4"/>
  <c r="B51" i="4"/>
  <c r="B48" i="4"/>
  <c r="B49" i="4"/>
  <c r="B46" i="4"/>
  <c r="B47" i="4"/>
  <c r="B44" i="4"/>
  <c r="B45" i="4"/>
  <c r="B42" i="4"/>
  <c r="B43" i="4"/>
  <c r="B40" i="4"/>
  <c r="B41" i="4"/>
  <c r="B38" i="4"/>
  <c r="B39" i="4"/>
  <c r="B36" i="4"/>
  <c r="B37" i="4"/>
  <c r="B34" i="4"/>
  <c r="B35" i="4"/>
  <c r="B32" i="4"/>
  <c r="B33" i="4"/>
  <c r="B30" i="4"/>
  <c r="B31" i="4"/>
  <c r="B28" i="4"/>
  <c r="B29" i="4"/>
  <c r="B26" i="4"/>
  <c r="B27" i="4"/>
  <c r="B24" i="4"/>
  <c r="B25" i="4"/>
  <c r="B22" i="4"/>
  <c r="B23" i="4"/>
  <c r="B20" i="4"/>
  <c r="B21" i="4"/>
  <c r="B18" i="4"/>
  <c r="B19" i="4"/>
  <c r="B16" i="4"/>
  <c r="B17" i="4"/>
  <c r="B14" i="4"/>
  <c r="B15" i="4"/>
  <c r="B12" i="4"/>
  <c r="B13" i="4"/>
  <c r="B10" i="4"/>
  <c r="B11" i="4"/>
  <c r="B8" i="4"/>
  <c r="B9" i="4"/>
</calcChain>
</file>

<file path=xl/sharedStrings.xml><?xml version="1.0" encoding="utf-8"?>
<sst xmlns="http://schemas.openxmlformats.org/spreadsheetml/2006/main" count="81" uniqueCount="61">
  <si>
    <t>Mis datos</t>
  </si>
  <si>
    <t>Estos datos salen arriba de tu lista de precios.</t>
  </si>
  <si>
    <t>Nombre de tu negocio</t>
  </si>
  <si>
    <t>Delicias de Carmen</t>
  </si>
  <si>
    <t>WhatsApp para pedidos</t>
  </si>
  <si>
    <t>+56 9 1234 5678</t>
  </si>
  <si>
    <t>Horario</t>
  </si>
  <si>
    <t>Lunes a sábado, 9:00 a 20:00</t>
  </si>
  <si>
    <t>Entrega</t>
  </si>
  <si>
    <t>Despacho a domicilio en tu comuna</t>
  </si>
  <si>
    <t>Formas de pago</t>
  </si>
  <si>
    <t>Efectivo, transferencia y tarjeta</t>
  </si>
  <si>
    <t>Productos</t>
  </si>
  <si>
    <t>Escribe tus productos agrupados por categoría (todos los de una categoría seguidos).</t>
  </si>
  <si>
    <t>Categoría</t>
  </si>
  <si>
    <t>Emoji (opcional)</t>
  </si>
  <si>
    <t>Producto</t>
  </si>
  <si>
    <t>Precio</t>
  </si>
  <si>
    <t>Precio de oferta (opcional)</t>
  </si>
  <si>
    <t>Disponible</t>
  </si>
  <si>
    <t>Nuevo grupo</t>
  </si>
  <si>
    <t>Posición</t>
  </si>
  <si>
    <t>Encabezado</t>
  </si>
  <si>
    <t>Línea</t>
  </si>
  <si>
    <t>Tortas</t>
  </si>
  <si>
    <t>🎂</t>
  </si>
  <si>
    <t>Torta de chocolate (20 porciones)</t>
  </si>
  <si>
    <t>Sí</t>
  </si>
  <si>
    <t>Torta tres leches (15 porciones)</t>
  </si>
  <si>
    <t>Torta de frutilla (15 porciones)</t>
  </si>
  <si>
    <t>No</t>
  </si>
  <si>
    <t>Dulces</t>
  </si>
  <si>
    <t>🍪</t>
  </si>
  <si>
    <t>Alfajores (caja de 12)</t>
  </si>
  <si>
    <t>Galletas decoradas (6)</t>
  </si>
  <si>
    <t>🧁</t>
  </si>
  <si>
    <t>Cupcakes (6)</t>
  </si>
  <si>
    <t>Salados</t>
  </si>
  <si>
    <t>🥟</t>
  </si>
  <si>
    <t>Empanadas de queso (12)</t>
  </si>
  <si>
    <t>🥪</t>
  </si>
  <si>
    <t>Sándwiches para fiesta (24)</t>
  </si>
  <si>
    <t>Lista para WhatsApp</t>
  </si>
  <si>
    <t>Selecciona desde la celda B5 hacia abajo, copia (Ctrl+C) y pégala en WhatsApp o en tu estado.</t>
  </si>
  <si>
    <t>Consejo</t>
  </si>
  <si>
    <t>Los *asteriscos* ponen el texto en negrita en WhatsApp.</t>
  </si>
  <si>
    <t>Al final de la lista salen tus datos de contacto.</t>
  </si>
  <si>
    <t>Lista de Precios para WhatsApp</t>
  </si>
  <si>
    <t>Escribe tus productos una vez y obtén una lista de precios ordenada para mandar por WhatsApp o poner en tu estado.</t>
  </si>
  <si>
    <t>Cómo usarla (4 pasos)</t>
  </si>
  <si>
    <t>Mis datos: escribe el nombre de tu negocio, tu WhatsApp, horario, entrega y formas de pago.</t>
  </si>
  <si>
    <t>Productos: escribe tus productos con su categoría, precio y, si quieres, un emoji y un precio de oferta. Pon todos los de una misma categoría seguidos. Si algo se acabó, marca Disponible = No.</t>
  </si>
  <si>
    <t>Lista para WhatsApp: ya está armada con negritas y ofertas. Selecciónala, cópiala (Ctrl+C) y pégala en el chat, en un grupo o en tu estado.</t>
  </si>
  <si>
    <t>Catálogo: es la misma lista en versión bonita. Sácale una captura de pantalla o imprímela para tu vitrina.</t>
  </si>
  <si>
    <t>Consejos</t>
  </si>
  <si>
    <t>•</t>
  </si>
  <si>
    <t>Para poner emojis en el computador: tecla Windows + punto (.) abre el teclado de emojis.</t>
  </si>
  <si>
    <t>Tus datos de contacto salen solos al final de la lista. Las líneas vacías que copies de más no importan: WhatsApp las borra.</t>
  </si>
  <si>
    <t>Actualiza los precios aquí y vuelve a copiar la lista: en 1 minuto la tienes al día.</t>
  </si>
  <si>
    <t>¿Quieres saber a cuánto vender cada producto? Mira la “Calculadora de Precios y Margen” en danielguanique.com/tienda.html</t>
  </si>
  <si>
    <t>Hecho por Daniel Guanique Digital · danielguanique.com · ¿La quieres a medida? Escríbeme por WhatsApp.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</si>
</sst>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5" x14ac:knownFonts="1">
    <font>
      <sz val="11"/>
      <color theme="1"/>
      <name val="Calibri"/>
      <family val="2"/>
      <scheme val="minor"/>
    </font>
    <font>
      <sz val="11"/>
      <color rgb="FF12241C"/>
      <name val="Calibri"/>
      <family val="2"/>
      <scheme val="minor"/>
    </font>
    <font>
      <b/>
      <sz val="20"/>
      <color rgb="FF155C39"/>
      <name val="Calibri"/>
      <family val="2"/>
      <scheme val="minor"/>
    </font>
    <font>
      <sz val="11"/>
      <color rgb="FF4A5E55"/>
      <name val="Calibri"/>
      <family val="2"/>
      <scheme val="minor"/>
    </font>
    <font>
      <b/>
      <sz val="11"/>
      <color rgb="FF12241C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2"/>
      <color rgb="FF12241C"/>
      <name val="Calibri"/>
      <family val="2"/>
      <scheme val="minor"/>
    </font>
    <font>
      <b/>
      <sz val="12"/>
      <color rgb="FF12241C"/>
      <name val="Calibri"/>
      <family val="2"/>
      <scheme val="minor"/>
    </font>
    <font>
      <b/>
      <sz val="11"/>
      <color rgb="FF155C39"/>
      <name val="Calibri"/>
      <family val="2"/>
      <scheme val="minor"/>
    </font>
    <font>
      <b/>
      <sz val="22"/>
      <color rgb="FF155C39"/>
      <name val="Calibri"/>
      <family val="2"/>
      <scheme val="minor"/>
    </font>
    <font>
      <b/>
      <sz val="12"/>
      <color rgb="FF155C39"/>
      <name val="Calibri"/>
      <family val="2"/>
      <scheme val="minor"/>
    </font>
    <font>
      <b/>
      <sz val="26"/>
      <color rgb="FF155C39"/>
      <name val="Calibri"/>
      <family val="2"/>
      <scheme val="minor"/>
    </font>
    <font>
      <sz val="12"/>
      <color rgb="FF4A5E55"/>
      <name val="Calibri"/>
      <family val="2"/>
      <scheme val="minor"/>
    </font>
    <font>
      <b/>
      <sz val="13"/>
      <color rgb="FF155C39"/>
      <name val="Calibri"/>
      <family val="2"/>
      <scheme val="minor"/>
    </font>
    <font>
      <i/>
      <sz val="11"/>
      <color rgb="FF4A5E5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7A4D"/>
        <bgColor indexed="64"/>
      </patternFill>
    </fill>
    <fill>
      <patternFill patternType="solid">
        <fgColor rgb="FFD8EDDF"/>
        <bgColor indexed="64"/>
      </patternFill>
    </fill>
  </fills>
  <borders count="7">
    <border>
      <left/>
      <right/>
      <top/>
      <bottom/>
      <diagonal/>
    </border>
    <border>
      <left style="medium">
        <color rgb="FF1F7A4D"/>
      </left>
      <right style="medium">
        <color rgb="FF1F7A4D"/>
      </right>
      <top style="medium">
        <color rgb="FF1F7A4D"/>
      </top>
      <bottom/>
      <diagonal/>
    </border>
    <border>
      <left style="medium">
        <color rgb="FF1F7A4D"/>
      </left>
      <right style="medium">
        <color rgb="FF1F7A4D"/>
      </right>
      <top/>
      <bottom/>
      <diagonal/>
    </border>
    <border>
      <left style="medium">
        <color rgb="FF1F7A4D"/>
      </left>
      <right style="medium">
        <color rgb="FF1F7A4D"/>
      </right>
      <top/>
      <bottom style="medium">
        <color rgb="FF1F7A4D"/>
      </bottom>
      <diagonal/>
    </border>
    <border>
      <left/>
      <right/>
      <top/>
      <bottom style="thin">
        <color rgb="FFDAE5E0"/>
      </bottom>
      <diagonal/>
    </border>
    <border>
      <left/>
      <right/>
      <top style="thin">
        <color rgb="FFDAE5E0"/>
      </top>
      <bottom style="thin">
        <color rgb="FFDAE5E0"/>
      </bottom>
      <diagonal/>
    </border>
    <border>
      <left/>
      <right/>
      <top style="thin">
        <color rgb="FFDAE5E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4" fillId="0" borderId="0" xfId="0" applyFont="1"/>
    <xf numFmtId="0" fontId="5" fillId="3" borderId="4" xfId="0" applyFont="1" applyFill="1" applyBorder="1" applyAlignment="1">
      <alignment wrapText="1"/>
    </xf>
    <xf numFmtId="0" fontId="1" fillId="0" borderId="5" xfId="0" applyFont="1" applyBorder="1"/>
    <xf numFmtId="0" fontId="1" fillId="0" borderId="6" xfId="0" applyFont="1" applyBorder="1"/>
    <xf numFmtId="0" fontId="1" fillId="4" borderId="5" xfId="0" applyFont="1" applyFill="1" applyBorder="1"/>
    <xf numFmtId="0" fontId="1" fillId="4" borderId="6" xfId="0" applyFont="1" applyFill="1" applyBorder="1"/>
    <xf numFmtId="1" fontId="1" fillId="4" borderId="5" xfId="0" applyNumberFormat="1" applyFont="1" applyFill="1" applyBorder="1"/>
    <xf numFmtId="1" fontId="1" fillId="4" borderId="6" xfId="0" applyNumberFormat="1" applyFont="1" applyFill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4" fontId="10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5" fillId="3" borderId="0" xfId="0" applyFont="1" applyFill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4" fillId="0" borderId="0" xfId="0" applyFont="1"/>
  </cellXfs>
  <cellStyles count="1">
    <cellStyle name="Normal" xfId="0" builtinId="0"/>
  </cellStyles>
  <dxfs count="23">
    <dxf>
      <border>
        <bottom style="thin">
          <color rgb="FFDAE5E0"/>
        </bottom>
      </border>
    </dxf>
    <dxf>
      <font>
        <b/>
        <i val="0"/>
        <color rgb="FFFFFFFF"/>
      </font>
      <fill>
        <patternFill>
          <bgColor rgb="FF1F7A4D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numFmt numFmtId="164" formatCode="&quot;$&quot;#,##0"/>
      <border diagonalUp="0" diagonalDown="0" outline="0">
        <left/>
        <right/>
        <top style="thin">
          <color rgb="FFDAE5E0"/>
        </top>
        <bottom style="thin">
          <color rgb="FFDAE5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border diagonalUp="0" diagonalDown="0" outline="0">
        <left/>
        <right/>
        <top style="thin">
          <color rgb="FFDAE5E0"/>
        </top>
        <bottom style="thin">
          <color rgb="FFDAE5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numFmt numFmtId="164" formatCode="&quot;$&quot;#,##0"/>
      <border diagonalUp="0" diagonalDown="0" outline="0">
        <left/>
        <right/>
        <top style="thin">
          <color rgb="FFDAE5E0"/>
        </top>
        <bottom style="thin">
          <color rgb="FFDAE5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border diagonalUp="0" diagonalDown="0" outline="0">
        <left/>
        <right/>
        <top style="thin">
          <color rgb="FFDAE5E0"/>
        </top>
        <bottom style="thin">
          <color rgb="FFDAE5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fill>
        <patternFill patternType="solid">
          <fgColor indexed="64"/>
          <bgColor rgb="FFD8EDDF"/>
        </patternFill>
      </fill>
      <border diagonalUp="0" diagonalDown="0" outline="0">
        <left/>
        <right/>
        <top style="thin">
          <color rgb="FFDAE5E0"/>
        </top>
        <bottom style="thin">
          <color rgb="FFDAE5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fill>
        <patternFill patternType="solid">
          <fgColor indexed="64"/>
          <bgColor rgb="FFD8EDDF"/>
        </patternFill>
      </fill>
      <border diagonalUp="0" diagonalDown="0" outline="0">
        <left/>
        <right/>
        <top style="thin">
          <color rgb="FFDAE5E0"/>
        </top>
        <bottom style="thin">
          <color rgb="FFDAE5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numFmt numFmtId="1" formatCode="0"/>
      <fill>
        <patternFill patternType="solid">
          <fgColor indexed="64"/>
          <bgColor rgb="FFD8EDDF"/>
        </patternFill>
      </fill>
      <border diagonalUp="0" diagonalDown="0" outline="0">
        <left/>
        <right/>
        <top style="thin">
          <color rgb="FFDAE5E0"/>
        </top>
        <bottom style="thin">
          <color rgb="FFDAE5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numFmt numFmtId="1" formatCode="0"/>
      <fill>
        <patternFill patternType="solid">
          <fgColor indexed="64"/>
          <bgColor rgb="FFD8EDDF"/>
        </patternFill>
      </fill>
      <border diagonalUp="0" diagonalDown="0" outline="0">
        <left/>
        <right/>
        <top style="thin">
          <color rgb="FFDAE5E0"/>
        </top>
        <bottom style="thin">
          <color rgb="FFDAE5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border diagonalUp="0" diagonalDown="0">
        <left/>
        <right/>
        <top style="thin">
          <color rgb="FFDAE5E0"/>
        </top>
        <bottom style="thin">
          <color rgb="FFDAE5E0"/>
        </bottom>
        <vertical/>
        <horizontal style="thin">
          <color rgb="FFDAE5E0"/>
        </horizontal>
      </border>
    </dxf>
    <dxf>
      <border>
        <top style="thin">
          <color rgb="FFDAE5E0"/>
        </top>
      </border>
    </dxf>
    <dxf>
      <border>
        <bottom style="thin">
          <color rgb="FFDAE5E0"/>
        </bottom>
      </border>
    </dxf>
    <dxf>
      <border diagonalUp="0" diagonalDown="0">
        <left style="thin">
          <color rgb="FFDAE5E0"/>
        </left>
        <right style="thin">
          <color rgb="FFDAE5E0"/>
        </right>
        <top style="thin">
          <color rgb="FFDAE5E0"/>
        </top>
        <bottom style="thin">
          <color rgb="FFDAE5E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1F7A4D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border diagonalUp="0" diagonalDown="0">
        <left/>
        <right/>
        <top style="thin">
          <color rgb="FFDAE5E0"/>
        </top>
        <bottom style="thin">
          <color rgb="FFDAE5E0"/>
        </bottom>
        <vertical/>
        <horizontal style="thin">
          <color rgb="FFDAE5E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  <border diagonalUp="0" diagonalDown="0">
        <left/>
        <right/>
        <top style="thin">
          <color rgb="FFDAE5E0"/>
        </top>
        <bottom style="thin">
          <color rgb="FFDAE5E0"/>
        </bottom>
        <vertical/>
        <horizontal style="thin">
          <color rgb="FFDAE5E0"/>
        </horizontal>
      </border>
    </dxf>
    <dxf>
      <border>
        <top style="thin">
          <color rgb="FFDAE5E0"/>
        </top>
      </border>
    </dxf>
    <dxf>
      <border>
        <bottom style="thin">
          <color rgb="FFDAE5E0"/>
        </bottom>
      </border>
    </dxf>
    <dxf>
      <border diagonalUp="0" diagonalDown="0">
        <left style="thin">
          <color rgb="FFDAE5E0"/>
        </left>
        <right style="thin">
          <color rgb="FFDAE5E0"/>
        </right>
        <top style="thin">
          <color rgb="FFDAE5E0"/>
        </top>
        <bottom style="thin">
          <color rgb="FFDAE5E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1F7A4D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12241C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9A0BDE8-C82D-48CB-96A2-F0FECAEB5320}" name="TSiNo" displayName="TSiNo" ref="E5:E7" totalsRowShown="0" headerRowDxfId="14" dataDxfId="15" headerRowBorderDxfId="12" tableBorderDxfId="13" totalsRowBorderDxfId="11">
  <autoFilter ref="E5:E7" xr:uid="{99A0BDE8-C82D-48CB-96A2-F0FECAEB5320}"/>
  <tableColumns count="1">
    <tableColumn id="1" xr3:uid="{3FC3BCB6-2665-4E03-85BD-07BE23F0551E}" name="Disponible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346A8C-8E49-4338-A634-B708B3E5A318}" name="Productos" displayName="Productos" ref="B5:K13" totalsRowShown="0" headerRowDxfId="21" dataDxfId="22" headerRowBorderDxfId="19" tableBorderDxfId="20" totalsRowBorderDxfId="18">
  <autoFilter ref="B5:K13" xr:uid="{0A346A8C-8E49-4338-A634-B708B3E5A318}"/>
  <tableColumns count="10">
    <tableColumn id="1" xr3:uid="{9A02C3C8-A1AF-423F-A7A8-BDFE3A70CD97}" name="Categoría" dataDxfId="17"/>
    <tableColumn id="2" xr3:uid="{67115442-21C3-4FC6-A1F4-15C97680A25B}" name="Emoji (opcional)" dataDxfId="16"/>
    <tableColumn id="3" xr3:uid="{FB55C163-069A-440C-9A98-10A29381DC1C}" name="Producto" dataDxfId="5"/>
    <tableColumn id="4" xr3:uid="{20CE27CC-5BA1-433D-9BA9-D593AD62357E}" name="Precio" dataDxfId="4"/>
    <tableColumn id="5" xr3:uid="{3594ADD8-9B51-47FB-985F-073616F0FE25}" name="Precio de oferta (opcional)" dataDxfId="2"/>
    <tableColumn id="6" xr3:uid="{26AEC99D-5729-48D3-AE97-E6C7E5DC1DE8}" name="Disponible" dataDxfId="3"/>
    <tableColumn id="7" xr3:uid="{1985741E-06E2-4A87-9237-F474F275597D}" name="Nuevo grupo" dataDxfId="9">
      <calculatedColumnFormula>IF(Productos[[#This Row],[Producto]]="",0,IF(ROW()=ROW(Productos[#Headers])+1,1,IF(Productos[[#This Row],[Categoría]]&lt;&gt;OFFSET(Productos[[#This Row],[Categoría]],-1,0),1,0)))</calculatedColumnFormula>
    </tableColumn>
    <tableColumn id="8" xr3:uid="{BC7CCD3F-EF33-4BFB-A800-1F519D3A8EF2}" name="Posición" dataDxfId="8">
      <calculatedColumnFormula>IF(Productos[[#This Row],[Producto]]="","",ROW()-ROW(Productos[#Headers])+2*SUM(INDEX(Productos[Nuevo grupo],1):Productos[[#This Row],[Nuevo grupo]])-1)</calculatedColumnFormula>
    </tableColumn>
    <tableColumn id="9" xr3:uid="{84F04EBC-A256-4D9A-94F6-70EC715FE767}" name="Encabezado" dataDxfId="7">
      <calculatedColumnFormula>IF(Productos[[#This Row],[Nuevo grupo]]=1,"*"&amp;UPPER(Productos[[#This Row],[Categoría]])&amp;"*","")</calculatedColumnFormula>
    </tableColumn>
    <tableColumn id="10" xr3:uid="{A147224B-A82D-4407-A81B-7D30131F012B}" name="Línea" dataDxfId="6">
      <calculatedColumnFormula>IF(Productos[[#This Row],[Producto]]="","",TRIM(Productos[[#This Row],[Emoji (opcional)]]&amp;" "&amp;Productos[[#This Row],[Producto]]&amp;": $"&amp;FIXED(Productos[[#This Row],[Precio]],0)&amp;IF(N(Productos[[#This Row],[Precio de oferta (opcional)]])&gt;0," ➜ OFERTA $"&amp;FIXED(Productos[[#This Row],[Precio de oferta (opcional)]],0),"")&amp;IF(Productos[[#This Row],[Disponible]]="No"," (agotado)","")))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F0888-18C1-4AFD-9FD6-E4FE5EFE00E8}">
  <sheetPr>
    <tabColor rgb="FF1F7A4D"/>
  </sheetPr>
  <dimension ref="B2:C17"/>
  <sheetViews>
    <sheetView showGridLines="0" tabSelected="1" workbookViewId="0"/>
  </sheetViews>
  <sheetFormatPr baseColWidth="10" defaultRowHeight="15" x14ac:dyDescent="0.25"/>
  <cols>
    <col min="1" max="1" width="2.7109375" style="1" customWidth="1"/>
    <col min="2" max="2" width="11.7109375" style="1" customWidth="1"/>
    <col min="3" max="3" width="92.7109375" style="1" customWidth="1"/>
    <col min="4" max="16384" width="11.42578125" style="1"/>
  </cols>
  <sheetData>
    <row r="2" spans="2:3" ht="33.75" x14ac:dyDescent="0.5">
      <c r="B2" s="22" t="s">
        <v>47</v>
      </c>
    </row>
    <row r="3" spans="2:3" ht="15.75" x14ac:dyDescent="0.25">
      <c r="B3" s="23" t="s">
        <v>48</v>
      </c>
    </row>
    <row r="5" spans="2:3" ht="17.25" x14ac:dyDescent="0.3">
      <c r="B5" s="24" t="s">
        <v>49</v>
      </c>
    </row>
    <row r="6" spans="2:3" ht="21.95" customHeight="1" x14ac:dyDescent="0.25">
      <c r="B6" s="25">
        <v>1</v>
      </c>
      <c r="C6" s="27" t="s">
        <v>50</v>
      </c>
    </row>
    <row r="7" spans="2:3" ht="30" customHeight="1" x14ac:dyDescent="0.25">
      <c r="B7" s="25">
        <v>2</v>
      </c>
      <c r="C7" s="27" t="s">
        <v>51</v>
      </c>
    </row>
    <row r="8" spans="2:3" ht="30" customHeight="1" x14ac:dyDescent="0.25">
      <c r="B8" s="25">
        <v>3</v>
      </c>
      <c r="C8" s="27" t="s">
        <v>52</v>
      </c>
    </row>
    <row r="9" spans="2:3" ht="30" customHeight="1" x14ac:dyDescent="0.25">
      <c r="B9" s="25">
        <v>4</v>
      </c>
      <c r="C9" s="27" t="s">
        <v>53</v>
      </c>
    </row>
    <row r="11" spans="2:3" ht="17.25" x14ac:dyDescent="0.3">
      <c r="B11" s="24" t="s">
        <v>54</v>
      </c>
    </row>
    <row r="12" spans="2:3" ht="18" customHeight="1" x14ac:dyDescent="0.25">
      <c r="B12" s="28" t="s">
        <v>55</v>
      </c>
      <c r="C12" s="26" t="s">
        <v>56</v>
      </c>
    </row>
    <row r="13" spans="2:3" ht="30" customHeight="1" x14ac:dyDescent="0.25">
      <c r="B13" s="28" t="s">
        <v>55</v>
      </c>
      <c r="C13" s="26" t="s">
        <v>57</v>
      </c>
    </row>
    <row r="14" spans="2:3" ht="18" customHeight="1" x14ac:dyDescent="0.25">
      <c r="B14" s="28" t="s">
        <v>55</v>
      </c>
      <c r="C14" s="26" t="s">
        <v>58</v>
      </c>
    </row>
    <row r="15" spans="2:3" ht="30" customHeight="1" x14ac:dyDescent="0.25">
      <c r="B15" s="28" t="s">
        <v>55</v>
      </c>
      <c r="C15" s="26" t="s">
        <v>59</v>
      </c>
    </row>
    <row r="17" spans="2:2" x14ac:dyDescent="0.25">
      <c r="B17" s="29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1F0B3-2DC6-4F9A-8766-9BFEC1A10D6D}">
  <sheetPr>
    <tabColor rgb="FFDAE5E0"/>
  </sheetPr>
  <dimension ref="B1:E9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26.7109375" style="1" customWidth="1"/>
    <col min="3" max="3" width="46.7109375" style="1" customWidth="1"/>
    <col min="4" max="4" width="11.42578125" style="1"/>
    <col min="5" max="5" width="12.7109375" style="1" customWidth="1"/>
    <col min="6" max="16384" width="11.42578125" style="1"/>
  </cols>
  <sheetData>
    <row r="1" spans="2:5" ht="8.1" customHeight="1" x14ac:dyDescent="0.25"/>
    <row r="2" spans="2:5" ht="26.25" x14ac:dyDescent="0.4">
      <c r="B2" s="2" t="s">
        <v>0</v>
      </c>
    </row>
    <row r="3" spans="2:5" x14ac:dyDescent="0.25">
      <c r="B3" s="3" t="s">
        <v>1</v>
      </c>
    </row>
    <row r="4" spans="2:5" ht="15.75" thickBot="1" x14ac:dyDescent="0.3"/>
    <row r="5" spans="2:5" x14ac:dyDescent="0.25">
      <c r="B5" s="7" t="s">
        <v>2</v>
      </c>
      <c r="C5" s="4" t="s">
        <v>3</v>
      </c>
      <c r="E5" s="8" t="s">
        <v>19</v>
      </c>
    </row>
    <row r="6" spans="2:5" x14ac:dyDescent="0.25">
      <c r="B6" s="7" t="s">
        <v>4</v>
      </c>
      <c r="C6" s="5" t="s">
        <v>5</v>
      </c>
      <c r="E6" s="9" t="s">
        <v>27</v>
      </c>
    </row>
    <row r="7" spans="2:5" x14ac:dyDescent="0.25">
      <c r="B7" s="7" t="s">
        <v>6</v>
      </c>
      <c r="C7" s="5" t="s">
        <v>7</v>
      </c>
      <c r="E7" s="10" t="s">
        <v>30</v>
      </c>
    </row>
    <row r="8" spans="2:5" x14ac:dyDescent="0.25">
      <c r="B8" s="7" t="s">
        <v>8</v>
      </c>
      <c r="C8" s="5" t="s">
        <v>9</v>
      </c>
    </row>
    <row r="9" spans="2:5" ht="15.75" thickBot="1" x14ac:dyDescent="0.3">
      <c r="B9" s="7" t="s">
        <v>10</v>
      </c>
      <c r="C9" s="6" t="s">
        <v>11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9BBCB-0A38-48B9-B30A-79880462B527}">
  <sheetPr>
    <tabColor rgb="FF1F7A4D"/>
  </sheetPr>
  <dimension ref="B1:K13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5" x14ac:dyDescent="0.25"/>
  <cols>
    <col min="1" max="1" width="2.7109375" style="1" customWidth="1"/>
    <col min="2" max="2" width="14.7109375" style="1" customWidth="1"/>
    <col min="3" max="3" width="10.7109375" style="1" customWidth="1"/>
    <col min="4" max="4" width="34.7109375" style="1" customWidth="1"/>
    <col min="5" max="5" width="12.7109375" style="1" customWidth="1"/>
    <col min="6" max="6" width="14.7109375" style="1" customWidth="1"/>
    <col min="7" max="7" width="11.7109375" style="1" customWidth="1"/>
    <col min="8" max="9" width="8.7109375" style="1" hidden="1" customWidth="1"/>
    <col min="10" max="10" width="16.7109375" style="1" hidden="1" customWidth="1"/>
    <col min="11" max="11" width="50.7109375" style="1" customWidth="1"/>
    <col min="12" max="16384" width="11.42578125" style="1"/>
  </cols>
  <sheetData>
    <row r="1" spans="2:11" ht="8.1" customHeight="1" x14ac:dyDescent="0.25"/>
    <row r="2" spans="2:11" ht="26.25" x14ac:dyDescent="0.4">
      <c r="B2" s="2" t="s">
        <v>12</v>
      </c>
    </row>
    <row r="3" spans="2:11" x14ac:dyDescent="0.25">
      <c r="B3" s="3" t="s">
        <v>13</v>
      </c>
    </row>
    <row r="5" spans="2:11" ht="32.1" customHeight="1" x14ac:dyDescent="0.25"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</row>
    <row r="6" spans="2:11" x14ac:dyDescent="0.25">
      <c r="B6" s="9" t="s">
        <v>24</v>
      </c>
      <c r="C6" s="9" t="s">
        <v>25</v>
      </c>
      <c r="D6" s="9" t="s">
        <v>26</v>
      </c>
      <c r="E6" s="15">
        <v>28000</v>
      </c>
      <c r="F6" s="15">
        <v>25000</v>
      </c>
      <c r="G6" s="9" t="s">
        <v>27</v>
      </c>
      <c r="H6" s="13">
        <f ca="1">IF(Productos[[#This Row],[Producto]]="",0,IF(ROW()=ROW(Productos[#Headers])+1,1,IF(Productos[[#This Row],[Categoría]]&lt;&gt;OFFSET(Productos[[#This Row],[Categoría]],-1,0),1,0)))</f>
        <v>1</v>
      </c>
      <c r="I6" s="13">
        <f ca="1">IF(Productos[[#This Row],[Producto]]="","",ROW()-ROW(Productos[#Headers])+2*SUM(INDEX(Productos[Nuevo grupo],1):Productos[[#This Row],[Nuevo grupo]])-1)</f>
        <v>2</v>
      </c>
      <c r="J6" s="11" t="str">
        <f ca="1">IF(Productos[[#This Row],[Nuevo grupo]]=1,"*"&amp;UPPER(Productos[[#This Row],[Categoría]])&amp;"*","")</f>
        <v>*TORTAS*</v>
      </c>
      <c r="K6" s="11" t="str">
        <f>IF(Productos[[#This Row],[Producto]]="","",TRIM(Productos[[#This Row],[Emoji (opcional)]]&amp;" "&amp;Productos[[#This Row],[Producto]]&amp;": $"&amp;FIXED(Productos[[#This Row],[Precio]],0)&amp;IF(N(Productos[[#This Row],[Precio de oferta (opcional)]])&gt;0," ➜ OFERTA $"&amp;FIXED(Productos[[#This Row],[Precio de oferta (opcional)]],0),"")&amp;IF(Productos[[#This Row],[Disponible]]="No"," (agotado)","")))</f>
        <v>🎂 Torta de chocolate (20 porciones): $28,000 ➜ OFERTA $25,000</v>
      </c>
    </row>
    <row r="7" spans="2:11" x14ac:dyDescent="0.25">
      <c r="B7" s="9" t="s">
        <v>24</v>
      </c>
      <c r="C7" s="9" t="s">
        <v>25</v>
      </c>
      <c r="D7" s="9" t="s">
        <v>28</v>
      </c>
      <c r="E7" s="15">
        <v>24000</v>
      </c>
      <c r="F7" s="15"/>
      <c r="G7" s="9" t="s">
        <v>27</v>
      </c>
      <c r="H7" s="13">
        <f ca="1">IF(Productos[[#This Row],[Producto]]="",0,IF(ROW()=ROW(Productos[#Headers])+1,1,IF(Productos[[#This Row],[Categoría]]&lt;&gt;OFFSET(Productos[[#This Row],[Categoría]],-1,0),1,0)))</f>
        <v>0</v>
      </c>
      <c r="I7" s="13">
        <f ca="1">IF(Productos[[#This Row],[Producto]]="","",ROW()-ROW(Productos[#Headers])+2*SUM(INDEX(Productos[Nuevo grupo],1):Productos[[#This Row],[Nuevo grupo]])-1)</f>
        <v>3</v>
      </c>
      <c r="J7" s="11" t="str">
        <f ca="1">IF(Productos[[#This Row],[Nuevo grupo]]=1,"*"&amp;UPPER(Productos[[#This Row],[Categoría]])&amp;"*","")</f>
        <v/>
      </c>
      <c r="K7" s="11" t="str">
        <f>IF(Productos[[#This Row],[Producto]]="","",TRIM(Productos[[#This Row],[Emoji (opcional)]]&amp;" "&amp;Productos[[#This Row],[Producto]]&amp;": $"&amp;FIXED(Productos[[#This Row],[Precio]],0)&amp;IF(N(Productos[[#This Row],[Precio de oferta (opcional)]])&gt;0," ➜ OFERTA $"&amp;FIXED(Productos[[#This Row],[Precio de oferta (opcional)]],0),"")&amp;IF(Productos[[#This Row],[Disponible]]="No"," (agotado)","")))</f>
        <v>🎂 Torta tres leches (15 porciones): $24,000</v>
      </c>
    </row>
    <row r="8" spans="2:11" x14ac:dyDescent="0.25">
      <c r="B8" s="9" t="s">
        <v>24</v>
      </c>
      <c r="C8" s="9" t="s">
        <v>25</v>
      </c>
      <c r="D8" s="9" t="s">
        <v>29</v>
      </c>
      <c r="E8" s="15">
        <v>26000</v>
      </c>
      <c r="F8" s="15"/>
      <c r="G8" s="9" t="s">
        <v>30</v>
      </c>
      <c r="H8" s="13">
        <f ca="1">IF(Productos[[#This Row],[Producto]]="",0,IF(ROW()=ROW(Productos[#Headers])+1,1,IF(Productos[[#This Row],[Categoría]]&lt;&gt;OFFSET(Productos[[#This Row],[Categoría]],-1,0),1,0)))</f>
        <v>0</v>
      </c>
      <c r="I8" s="13">
        <f ca="1">IF(Productos[[#This Row],[Producto]]="","",ROW()-ROW(Productos[#Headers])+2*SUM(INDEX(Productos[Nuevo grupo],1):Productos[[#This Row],[Nuevo grupo]])-1)</f>
        <v>4</v>
      </c>
      <c r="J8" s="11" t="str">
        <f ca="1">IF(Productos[[#This Row],[Nuevo grupo]]=1,"*"&amp;UPPER(Productos[[#This Row],[Categoría]])&amp;"*","")</f>
        <v/>
      </c>
      <c r="K8" s="11" t="str">
        <f>IF(Productos[[#This Row],[Producto]]="","",TRIM(Productos[[#This Row],[Emoji (opcional)]]&amp;" "&amp;Productos[[#This Row],[Producto]]&amp;": $"&amp;FIXED(Productos[[#This Row],[Precio]],0)&amp;IF(N(Productos[[#This Row],[Precio de oferta (opcional)]])&gt;0," ➜ OFERTA $"&amp;FIXED(Productos[[#This Row],[Precio de oferta (opcional)]],0),"")&amp;IF(Productos[[#This Row],[Disponible]]="No"," (agotado)","")))</f>
        <v>🎂 Torta de frutilla (15 porciones): $26,000 (agotado)</v>
      </c>
    </row>
    <row r="9" spans="2:11" x14ac:dyDescent="0.25">
      <c r="B9" s="9" t="s">
        <v>31</v>
      </c>
      <c r="C9" s="9" t="s">
        <v>32</v>
      </c>
      <c r="D9" s="9" t="s">
        <v>33</v>
      </c>
      <c r="E9" s="15">
        <v>7500</v>
      </c>
      <c r="F9" s="15"/>
      <c r="G9" s="9" t="s">
        <v>27</v>
      </c>
      <c r="H9" s="13">
        <f ca="1">IF(Productos[[#This Row],[Producto]]="",0,IF(ROW()=ROW(Productos[#Headers])+1,1,IF(Productos[[#This Row],[Categoría]]&lt;&gt;OFFSET(Productos[[#This Row],[Categoría]],-1,0),1,0)))</f>
        <v>1</v>
      </c>
      <c r="I9" s="13">
        <f ca="1">IF(Productos[[#This Row],[Producto]]="","",ROW()-ROW(Productos[#Headers])+2*SUM(INDEX(Productos[Nuevo grupo],1):Productos[[#This Row],[Nuevo grupo]])-1)</f>
        <v>7</v>
      </c>
      <c r="J9" s="11" t="str">
        <f ca="1">IF(Productos[[#This Row],[Nuevo grupo]]=1,"*"&amp;UPPER(Productos[[#This Row],[Categoría]])&amp;"*","")</f>
        <v>*DULCES*</v>
      </c>
      <c r="K9" s="11" t="str">
        <f>IF(Productos[[#This Row],[Producto]]="","",TRIM(Productos[[#This Row],[Emoji (opcional)]]&amp;" "&amp;Productos[[#This Row],[Producto]]&amp;": $"&amp;FIXED(Productos[[#This Row],[Precio]],0)&amp;IF(N(Productos[[#This Row],[Precio de oferta (opcional)]])&gt;0," ➜ OFERTA $"&amp;FIXED(Productos[[#This Row],[Precio de oferta (opcional)]],0),"")&amp;IF(Productos[[#This Row],[Disponible]]="No"," (agotado)","")))</f>
        <v>🍪 Alfajores (caja de 12): $7,500</v>
      </c>
    </row>
    <row r="10" spans="2:11" x14ac:dyDescent="0.25">
      <c r="B10" s="9" t="s">
        <v>31</v>
      </c>
      <c r="C10" s="9" t="s">
        <v>32</v>
      </c>
      <c r="D10" s="9" t="s">
        <v>34</v>
      </c>
      <c r="E10" s="15">
        <v>6000</v>
      </c>
      <c r="F10" s="15">
        <v>5000</v>
      </c>
      <c r="G10" s="9" t="s">
        <v>27</v>
      </c>
      <c r="H10" s="13">
        <f ca="1">IF(Productos[[#This Row],[Producto]]="",0,IF(ROW()=ROW(Productos[#Headers])+1,1,IF(Productos[[#This Row],[Categoría]]&lt;&gt;OFFSET(Productos[[#This Row],[Categoría]],-1,0),1,0)))</f>
        <v>0</v>
      </c>
      <c r="I10" s="13">
        <f ca="1">IF(Productos[[#This Row],[Producto]]="","",ROW()-ROW(Productos[#Headers])+2*SUM(INDEX(Productos[Nuevo grupo],1):Productos[[#This Row],[Nuevo grupo]])-1)</f>
        <v>8</v>
      </c>
      <c r="J10" s="11" t="str">
        <f ca="1">IF(Productos[[#This Row],[Nuevo grupo]]=1,"*"&amp;UPPER(Productos[[#This Row],[Categoría]])&amp;"*","")</f>
        <v/>
      </c>
      <c r="K10" s="11" t="str">
        <f>IF(Productos[[#This Row],[Producto]]="","",TRIM(Productos[[#This Row],[Emoji (opcional)]]&amp;" "&amp;Productos[[#This Row],[Producto]]&amp;": $"&amp;FIXED(Productos[[#This Row],[Precio]],0)&amp;IF(N(Productos[[#This Row],[Precio de oferta (opcional)]])&gt;0," ➜ OFERTA $"&amp;FIXED(Productos[[#This Row],[Precio de oferta (opcional)]],0),"")&amp;IF(Productos[[#This Row],[Disponible]]="No"," (agotado)","")))</f>
        <v>🍪 Galletas decoradas (6): $6,000 ➜ OFERTA $5,000</v>
      </c>
    </row>
    <row r="11" spans="2:11" x14ac:dyDescent="0.25">
      <c r="B11" s="9" t="s">
        <v>31</v>
      </c>
      <c r="C11" s="9" t="s">
        <v>35</v>
      </c>
      <c r="D11" s="9" t="s">
        <v>36</v>
      </c>
      <c r="E11" s="15">
        <v>8900</v>
      </c>
      <c r="F11" s="15"/>
      <c r="G11" s="9" t="s">
        <v>27</v>
      </c>
      <c r="H11" s="13">
        <f ca="1">IF(Productos[[#This Row],[Producto]]="",0,IF(ROW()=ROW(Productos[#Headers])+1,1,IF(Productos[[#This Row],[Categoría]]&lt;&gt;OFFSET(Productos[[#This Row],[Categoría]],-1,0),1,0)))</f>
        <v>0</v>
      </c>
      <c r="I11" s="13">
        <f ca="1">IF(Productos[[#This Row],[Producto]]="","",ROW()-ROW(Productos[#Headers])+2*SUM(INDEX(Productos[Nuevo grupo],1):Productos[[#This Row],[Nuevo grupo]])-1)</f>
        <v>9</v>
      </c>
      <c r="J11" s="11" t="str">
        <f ca="1">IF(Productos[[#This Row],[Nuevo grupo]]=1,"*"&amp;UPPER(Productos[[#This Row],[Categoría]])&amp;"*","")</f>
        <v/>
      </c>
      <c r="K11" s="11" t="str">
        <f>IF(Productos[[#This Row],[Producto]]="","",TRIM(Productos[[#This Row],[Emoji (opcional)]]&amp;" "&amp;Productos[[#This Row],[Producto]]&amp;": $"&amp;FIXED(Productos[[#This Row],[Precio]],0)&amp;IF(N(Productos[[#This Row],[Precio de oferta (opcional)]])&gt;0," ➜ OFERTA $"&amp;FIXED(Productos[[#This Row],[Precio de oferta (opcional)]],0),"")&amp;IF(Productos[[#This Row],[Disponible]]="No"," (agotado)","")))</f>
        <v>🧁 Cupcakes (6): $8,900</v>
      </c>
    </row>
    <row r="12" spans="2:11" x14ac:dyDescent="0.25">
      <c r="B12" s="9" t="s">
        <v>37</v>
      </c>
      <c r="C12" s="9" t="s">
        <v>38</v>
      </c>
      <c r="D12" s="9" t="s">
        <v>39</v>
      </c>
      <c r="E12" s="15">
        <v>9600</v>
      </c>
      <c r="F12" s="15"/>
      <c r="G12" s="9" t="s">
        <v>27</v>
      </c>
      <c r="H12" s="13">
        <f ca="1">IF(Productos[[#This Row],[Producto]]="",0,IF(ROW()=ROW(Productos[#Headers])+1,1,IF(Productos[[#This Row],[Categoría]]&lt;&gt;OFFSET(Productos[[#This Row],[Categoría]],-1,0),1,0)))</f>
        <v>1</v>
      </c>
      <c r="I12" s="13">
        <f ca="1">IF(Productos[[#This Row],[Producto]]="","",ROW()-ROW(Productos[#Headers])+2*SUM(INDEX(Productos[Nuevo grupo],1):Productos[[#This Row],[Nuevo grupo]])-1)</f>
        <v>12</v>
      </c>
      <c r="J12" s="11" t="str">
        <f ca="1">IF(Productos[[#This Row],[Nuevo grupo]]=1,"*"&amp;UPPER(Productos[[#This Row],[Categoría]])&amp;"*","")</f>
        <v>*SALADOS*</v>
      </c>
      <c r="K12" s="11" t="str">
        <f>IF(Productos[[#This Row],[Producto]]="","",TRIM(Productos[[#This Row],[Emoji (opcional)]]&amp;" "&amp;Productos[[#This Row],[Producto]]&amp;": $"&amp;FIXED(Productos[[#This Row],[Precio]],0)&amp;IF(N(Productos[[#This Row],[Precio de oferta (opcional)]])&gt;0," ➜ OFERTA $"&amp;FIXED(Productos[[#This Row],[Precio de oferta (opcional)]],0),"")&amp;IF(Productos[[#This Row],[Disponible]]="No"," (agotado)","")))</f>
        <v>🥟 Empanadas de queso (12): $9,600</v>
      </c>
    </row>
    <row r="13" spans="2:11" x14ac:dyDescent="0.25">
      <c r="B13" s="10" t="s">
        <v>37</v>
      </c>
      <c r="C13" s="10" t="s">
        <v>40</v>
      </c>
      <c r="D13" s="10" t="s">
        <v>41</v>
      </c>
      <c r="E13" s="16">
        <v>14000</v>
      </c>
      <c r="F13" s="16"/>
      <c r="G13" s="10" t="s">
        <v>27</v>
      </c>
      <c r="H13" s="14">
        <f ca="1">IF(Productos[[#This Row],[Producto]]="",0,IF(ROW()=ROW(Productos[#Headers])+1,1,IF(Productos[[#This Row],[Categoría]]&lt;&gt;OFFSET(Productos[[#This Row],[Categoría]],-1,0),1,0)))</f>
        <v>0</v>
      </c>
      <c r="I13" s="14">
        <f ca="1">IF(Productos[[#This Row],[Producto]]="","",ROW()-ROW(Productos[#Headers])+2*SUM(INDEX(Productos[Nuevo grupo],1):Productos[[#This Row],[Nuevo grupo]])-1)</f>
        <v>13</v>
      </c>
      <c r="J13" s="12" t="str">
        <f ca="1">IF(Productos[[#This Row],[Nuevo grupo]]=1,"*"&amp;UPPER(Productos[[#This Row],[Categoría]])&amp;"*","")</f>
        <v/>
      </c>
      <c r="K13" s="12" t="str">
        <f>IF(Productos[[#This Row],[Producto]]="","",TRIM(Productos[[#This Row],[Emoji (opcional)]]&amp;" "&amp;Productos[[#This Row],[Producto]]&amp;": $"&amp;FIXED(Productos[[#This Row],[Precio]],0)&amp;IF(N(Productos[[#This Row],[Precio de oferta (opcional)]])&gt;0," ➜ OFERTA $"&amp;FIXED(Productos[[#This Row],[Precio de oferta (opcional)]],0),"")&amp;IF(Productos[[#This Row],[Disponible]]="No"," (agotado)","")))</f>
        <v>🥪 Sándwiches para fiesta (24): $14,000</v>
      </c>
    </row>
  </sheetData>
  <dataValidations count="1">
    <dataValidation type="list" allowBlank="1" showInputMessage="1" showErrorMessage="1" error="Elige Sí o No." sqref="G6:G13" xr:uid="{E505C49D-0B7D-4E16-866B-422BE7FA7EC2}">
      <formula1>ListaSiNo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15CF4-D016-478A-AA89-F10896223A79}">
  <sheetPr>
    <tabColor rgb="FF155C39"/>
  </sheetPr>
  <dimension ref="B1:D127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70.7109375" style="1" customWidth="1"/>
    <col min="3" max="3" width="11.42578125" style="1"/>
    <col min="4" max="4" width="50.7109375" style="1" customWidth="1"/>
    <col min="5" max="16384" width="11.42578125" style="1"/>
  </cols>
  <sheetData>
    <row r="1" spans="2:4" ht="8.1" customHeight="1" x14ac:dyDescent="0.25"/>
    <row r="2" spans="2:4" ht="26.25" x14ac:dyDescent="0.4">
      <c r="B2" s="2" t="s">
        <v>42</v>
      </c>
    </row>
    <row r="3" spans="2:4" x14ac:dyDescent="0.25">
      <c r="B3" s="3" t="s">
        <v>43</v>
      </c>
    </row>
    <row r="5" spans="2:4" ht="15.75" x14ac:dyDescent="0.25">
      <c r="B5" s="18" t="str">
        <f>"*"&amp;UPPER(Negocio)&amp;"*"</f>
        <v>*DELICIAS DE CARMEN*</v>
      </c>
      <c r="D5" s="19" t="s">
        <v>44</v>
      </c>
    </row>
    <row r="6" spans="2:4" ht="15.75" x14ac:dyDescent="0.25">
      <c r="B6" s="17" t="str">
        <f ca="1">"Lista de precios al "&amp;DAY(TODAY())&amp;"/"&amp;MONTH(TODAY())&amp;"/"&amp;YEAR(TODAY())</f>
        <v>Lista de precios al 3/10/2026</v>
      </c>
      <c r="D6" s="3" t="s">
        <v>45</v>
      </c>
    </row>
    <row r="7" spans="2:4" ht="15.75" x14ac:dyDescent="0.25">
      <c r="B7" s="17" t="str">
        <f>""</f>
        <v/>
      </c>
      <c r="D7" s="3" t="s">
        <v>46</v>
      </c>
    </row>
    <row r="8" spans="2:4" ht="15.75" x14ac:dyDescent="0.25">
      <c r="B8" s="17" t="str">
        <f ca="1">IF(1&lt;=MAX(Productos[Posición]),IFERROR(INDEX(Productos[Línea],MATCH(1,Productos[Posición],0)),IFERROR(IF(INDEX(Productos[Nuevo grupo],MATCH(2,Productos[Posición],0))=1,INDEX(Productos[Encabezado],MATCH(2,Productos[Posición],0)),""),"")),CHOOSE(MIN(1-MAX(Productos[Posición]),6),"","📲 Pedidos: "&amp;Fono,"🕒 "&amp;Horario,"🚚 "&amp;Entrega,"💳 "&amp;Pagos,""))</f>
        <v>*TORTAS*</v>
      </c>
    </row>
    <row r="9" spans="2:4" ht="15.75" x14ac:dyDescent="0.25">
      <c r="B9" s="17" t="str">
        <f ca="1">IF(2&lt;=MAX(Productos[Posición]),IFERROR(INDEX(Productos[Línea],MATCH(2,Productos[Posición],0)),IFERROR(IF(INDEX(Productos[Nuevo grupo],MATCH(3,Productos[Posición],0))=1,INDEX(Productos[Encabezado],MATCH(3,Productos[Posición],0)),""),"")),CHOOSE(MIN(2-MAX(Productos[Posición]),6),"","📲 Pedidos: "&amp;Fono,"🕒 "&amp;Horario,"🚚 "&amp;Entrega,"💳 "&amp;Pagos,""))</f>
        <v>🎂 Torta de chocolate (20 porciones): $28,000 ➜ OFERTA $25,000</v>
      </c>
    </row>
    <row r="10" spans="2:4" ht="15.75" x14ac:dyDescent="0.25">
      <c r="B10" s="17" t="str">
        <f ca="1">IF(3&lt;=MAX(Productos[Posición]),IFERROR(INDEX(Productos[Línea],MATCH(3,Productos[Posición],0)),IFERROR(IF(INDEX(Productos[Nuevo grupo],MATCH(4,Productos[Posición],0))=1,INDEX(Productos[Encabezado],MATCH(4,Productos[Posición],0)),""),"")),CHOOSE(MIN(3-MAX(Productos[Posición]),6),"","📲 Pedidos: "&amp;Fono,"🕒 "&amp;Horario,"🚚 "&amp;Entrega,"💳 "&amp;Pagos,""))</f>
        <v>🎂 Torta tres leches (15 porciones): $24,000</v>
      </c>
    </row>
    <row r="11" spans="2:4" ht="15.75" x14ac:dyDescent="0.25">
      <c r="B11" s="17" t="str">
        <f ca="1">IF(4&lt;=MAX(Productos[Posición]),IFERROR(INDEX(Productos[Línea],MATCH(4,Productos[Posición],0)),IFERROR(IF(INDEX(Productos[Nuevo grupo],MATCH(5,Productos[Posición],0))=1,INDEX(Productos[Encabezado],MATCH(5,Productos[Posición],0)),""),"")),CHOOSE(MIN(4-MAX(Productos[Posición]),6),"","📲 Pedidos: "&amp;Fono,"🕒 "&amp;Horario,"🚚 "&amp;Entrega,"💳 "&amp;Pagos,""))</f>
        <v>🎂 Torta de frutilla (15 porciones): $26,000 (agotado)</v>
      </c>
    </row>
    <row r="12" spans="2:4" ht="15.75" x14ac:dyDescent="0.25">
      <c r="B12" s="17" t="str">
        <f ca="1">IF(5&lt;=MAX(Productos[Posición]),IFERROR(INDEX(Productos[Línea],MATCH(5,Productos[Posición],0)),IFERROR(IF(INDEX(Productos[Nuevo grupo],MATCH(6,Productos[Posición],0))=1,INDEX(Productos[Encabezado],MATCH(6,Productos[Posición],0)),""),"")),CHOOSE(MIN(5-MAX(Productos[Posición]),6),"","📲 Pedidos: "&amp;Fono,"🕒 "&amp;Horario,"🚚 "&amp;Entrega,"💳 "&amp;Pagos,""))</f>
        <v/>
      </c>
    </row>
    <row r="13" spans="2:4" ht="15.75" x14ac:dyDescent="0.25">
      <c r="B13" s="17" t="str">
        <f ca="1">IF(6&lt;=MAX(Productos[Posición]),IFERROR(INDEX(Productos[Línea],MATCH(6,Productos[Posición],0)),IFERROR(IF(INDEX(Productos[Nuevo grupo],MATCH(7,Productos[Posición],0))=1,INDEX(Productos[Encabezado],MATCH(7,Productos[Posición],0)),""),"")),CHOOSE(MIN(6-MAX(Productos[Posición]),6),"","📲 Pedidos: "&amp;Fono,"🕒 "&amp;Horario,"🚚 "&amp;Entrega,"💳 "&amp;Pagos,""))</f>
        <v>*DULCES*</v>
      </c>
    </row>
    <row r="14" spans="2:4" ht="15.75" x14ac:dyDescent="0.25">
      <c r="B14" s="17" t="str">
        <f ca="1">IF(7&lt;=MAX(Productos[Posición]),IFERROR(INDEX(Productos[Línea],MATCH(7,Productos[Posición],0)),IFERROR(IF(INDEX(Productos[Nuevo grupo],MATCH(8,Productos[Posición],0))=1,INDEX(Productos[Encabezado],MATCH(8,Productos[Posición],0)),""),"")),CHOOSE(MIN(7-MAX(Productos[Posición]),6),"","📲 Pedidos: "&amp;Fono,"🕒 "&amp;Horario,"🚚 "&amp;Entrega,"💳 "&amp;Pagos,""))</f>
        <v>🍪 Alfajores (caja de 12): $7,500</v>
      </c>
    </row>
    <row r="15" spans="2:4" ht="15.75" x14ac:dyDescent="0.25">
      <c r="B15" s="17" t="str">
        <f ca="1">IF(8&lt;=MAX(Productos[Posición]),IFERROR(INDEX(Productos[Línea],MATCH(8,Productos[Posición],0)),IFERROR(IF(INDEX(Productos[Nuevo grupo],MATCH(9,Productos[Posición],0))=1,INDEX(Productos[Encabezado],MATCH(9,Productos[Posición],0)),""),"")),CHOOSE(MIN(8-MAX(Productos[Posición]),6),"","📲 Pedidos: "&amp;Fono,"🕒 "&amp;Horario,"🚚 "&amp;Entrega,"💳 "&amp;Pagos,""))</f>
        <v>🍪 Galletas decoradas (6): $6,000 ➜ OFERTA $5,000</v>
      </c>
    </row>
    <row r="16" spans="2:4" ht="15.75" x14ac:dyDescent="0.25">
      <c r="B16" s="17" t="str">
        <f ca="1">IF(9&lt;=MAX(Productos[Posición]),IFERROR(INDEX(Productos[Línea],MATCH(9,Productos[Posición],0)),IFERROR(IF(INDEX(Productos[Nuevo grupo],MATCH(10,Productos[Posición],0))=1,INDEX(Productos[Encabezado],MATCH(10,Productos[Posición],0)),""),"")),CHOOSE(MIN(9-MAX(Productos[Posición]),6),"","📲 Pedidos: "&amp;Fono,"🕒 "&amp;Horario,"🚚 "&amp;Entrega,"💳 "&amp;Pagos,""))</f>
        <v>🧁 Cupcakes (6): $8,900</v>
      </c>
    </row>
    <row r="17" spans="2:2" ht="15.75" x14ac:dyDescent="0.25">
      <c r="B17" s="17" t="str">
        <f ca="1">IF(10&lt;=MAX(Productos[Posición]),IFERROR(INDEX(Productos[Línea],MATCH(10,Productos[Posición],0)),IFERROR(IF(INDEX(Productos[Nuevo grupo],MATCH(11,Productos[Posición],0))=1,INDEX(Productos[Encabezado],MATCH(11,Productos[Posición],0)),""),"")),CHOOSE(MIN(10-MAX(Productos[Posición]),6),"","📲 Pedidos: "&amp;Fono,"🕒 "&amp;Horario,"🚚 "&amp;Entrega,"💳 "&amp;Pagos,""))</f>
        <v/>
      </c>
    </row>
    <row r="18" spans="2:2" ht="15.75" x14ac:dyDescent="0.25">
      <c r="B18" s="17" t="str">
        <f ca="1">IF(11&lt;=MAX(Productos[Posición]),IFERROR(INDEX(Productos[Línea],MATCH(11,Productos[Posición],0)),IFERROR(IF(INDEX(Productos[Nuevo grupo],MATCH(12,Productos[Posición],0))=1,INDEX(Productos[Encabezado],MATCH(12,Productos[Posición],0)),""),"")),CHOOSE(MIN(11-MAX(Productos[Posición]),6),"","📲 Pedidos: "&amp;Fono,"🕒 "&amp;Horario,"🚚 "&amp;Entrega,"💳 "&amp;Pagos,""))</f>
        <v>*SALADOS*</v>
      </c>
    </row>
    <row r="19" spans="2:2" ht="15.75" x14ac:dyDescent="0.25">
      <c r="B19" s="17" t="str">
        <f ca="1">IF(12&lt;=MAX(Productos[Posición]),IFERROR(INDEX(Productos[Línea],MATCH(12,Productos[Posición],0)),IFERROR(IF(INDEX(Productos[Nuevo grupo],MATCH(13,Productos[Posición],0))=1,INDEX(Productos[Encabezado],MATCH(13,Productos[Posición],0)),""),"")),CHOOSE(MIN(12-MAX(Productos[Posición]),6),"","📲 Pedidos: "&amp;Fono,"🕒 "&amp;Horario,"🚚 "&amp;Entrega,"💳 "&amp;Pagos,""))</f>
        <v>🥟 Empanadas de queso (12): $9,600</v>
      </c>
    </row>
    <row r="20" spans="2:2" ht="15.75" x14ac:dyDescent="0.25">
      <c r="B20" s="17" t="str">
        <f ca="1">IF(13&lt;=MAX(Productos[Posición]),IFERROR(INDEX(Productos[Línea],MATCH(13,Productos[Posición],0)),IFERROR(IF(INDEX(Productos[Nuevo grupo],MATCH(14,Productos[Posición],0))=1,INDEX(Productos[Encabezado],MATCH(14,Productos[Posición],0)),""),"")),CHOOSE(MIN(13-MAX(Productos[Posición]),6),"","📲 Pedidos: "&amp;Fono,"🕒 "&amp;Horario,"🚚 "&amp;Entrega,"💳 "&amp;Pagos,""))</f>
        <v>🥪 Sándwiches para fiesta (24): $14,000</v>
      </c>
    </row>
    <row r="21" spans="2:2" ht="15.75" x14ac:dyDescent="0.25">
      <c r="B21" s="17" t="str">
        <f ca="1">IF(14&lt;=MAX(Productos[Posición]),IFERROR(INDEX(Productos[Línea],MATCH(14,Productos[Posición],0)),IFERROR(IF(INDEX(Productos[Nuevo grupo],MATCH(15,Productos[Posición],0))=1,INDEX(Productos[Encabezado],MATCH(15,Productos[Posición],0)),""),"")),CHOOSE(MIN(14-MAX(Productos[Posición]),6),"","📲 Pedidos: "&amp;Fono,"🕒 "&amp;Horario,"🚚 "&amp;Entrega,"💳 "&amp;Pagos,""))</f>
        <v/>
      </c>
    </row>
    <row r="22" spans="2:2" ht="15.75" x14ac:dyDescent="0.25">
      <c r="B22" s="17" t="str">
        <f ca="1">IF(15&lt;=MAX(Productos[Posición]),IFERROR(INDEX(Productos[Línea],MATCH(15,Productos[Posición],0)),IFERROR(IF(INDEX(Productos[Nuevo grupo],MATCH(16,Productos[Posición],0))=1,INDEX(Productos[Encabezado],MATCH(16,Productos[Posición],0)),""),"")),CHOOSE(MIN(15-MAX(Productos[Posición]),6),"","📲 Pedidos: "&amp;Fono,"🕒 "&amp;Horario,"🚚 "&amp;Entrega,"💳 "&amp;Pagos,""))</f>
        <v>📲 Pedidos: +56 9 1234 5678</v>
      </c>
    </row>
    <row r="23" spans="2:2" ht="15.75" x14ac:dyDescent="0.25">
      <c r="B23" s="17" t="str">
        <f ca="1">IF(16&lt;=MAX(Productos[Posición]),IFERROR(INDEX(Productos[Línea],MATCH(16,Productos[Posición],0)),IFERROR(IF(INDEX(Productos[Nuevo grupo],MATCH(17,Productos[Posición],0))=1,INDEX(Productos[Encabezado],MATCH(17,Productos[Posición],0)),""),"")),CHOOSE(MIN(16-MAX(Productos[Posición]),6),"","📲 Pedidos: "&amp;Fono,"🕒 "&amp;Horario,"🚚 "&amp;Entrega,"💳 "&amp;Pagos,""))</f>
        <v>🕒 Lunes a sábado, 9:00 a 20:00</v>
      </c>
    </row>
    <row r="24" spans="2:2" ht="15.75" x14ac:dyDescent="0.25">
      <c r="B24" s="17" t="str">
        <f ca="1">IF(17&lt;=MAX(Productos[Posición]),IFERROR(INDEX(Productos[Línea],MATCH(17,Productos[Posición],0)),IFERROR(IF(INDEX(Productos[Nuevo grupo],MATCH(18,Productos[Posición],0))=1,INDEX(Productos[Encabezado],MATCH(18,Productos[Posición],0)),""),"")),CHOOSE(MIN(17-MAX(Productos[Posición]),6),"","📲 Pedidos: "&amp;Fono,"🕒 "&amp;Horario,"🚚 "&amp;Entrega,"💳 "&amp;Pagos,""))</f>
        <v>🚚 Despacho a domicilio en tu comuna</v>
      </c>
    </row>
    <row r="25" spans="2:2" ht="15.75" x14ac:dyDescent="0.25">
      <c r="B25" s="17" t="str">
        <f ca="1">IF(18&lt;=MAX(Productos[Posición]),IFERROR(INDEX(Productos[Línea],MATCH(18,Productos[Posición],0)),IFERROR(IF(INDEX(Productos[Nuevo grupo],MATCH(19,Productos[Posición],0))=1,INDEX(Productos[Encabezado],MATCH(19,Productos[Posición],0)),""),"")),CHOOSE(MIN(18-MAX(Productos[Posición]),6),"","📲 Pedidos: "&amp;Fono,"🕒 "&amp;Horario,"🚚 "&amp;Entrega,"💳 "&amp;Pagos,""))</f>
        <v>💳 Efectivo, transferencia y tarjeta</v>
      </c>
    </row>
    <row r="26" spans="2:2" ht="15.75" x14ac:dyDescent="0.25">
      <c r="B26" s="17" t="str">
        <f ca="1">IF(19&lt;=MAX(Productos[Posición]),IFERROR(INDEX(Productos[Línea],MATCH(19,Productos[Posición],0)),IFERROR(IF(INDEX(Productos[Nuevo grupo],MATCH(20,Productos[Posición],0))=1,INDEX(Productos[Encabezado],MATCH(20,Productos[Posición],0)),""),"")),CHOOSE(MIN(19-MAX(Productos[Posición]),6),"","📲 Pedidos: "&amp;Fono,"🕒 "&amp;Horario,"🚚 "&amp;Entrega,"💳 "&amp;Pagos,""))</f>
        <v/>
      </c>
    </row>
    <row r="27" spans="2:2" ht="15.75" x14ac:dyDescent="0.25">
      <c r="B27" s="17" t="str">
        <f ca="1">IF(20&lt;=MAX(Productos[Posición]),IFERROR(INDEX(Productos[Línea],MATCH(20,Productos[Posición],0)),IFERROR(IF(INDEX(Productos[Nuevo grupo],MATCH(21,Productos[Posición],0))=1,INDEX(Productos[Encabezado],MATCH(21,Productos[Posición],0)),""),"")),CHOOSE(MIN(20-MAX(Productos[Posición]),6),"","📲 Pedidos: "&amp;Fono,"🕒 "&amp;Horario,"🚚 "&amp;Entrega,"💳 "&amp;Pagos,""))</f>
        <v/>
      </c>
    </row>
    <row r="28" spans="2:2" ht="15.75" x14ac:dyDescent="0.25">
      <c r="B28" s="17" t="str">
        <f ca="1">IF(21&lt;=MAX(Productos[Posición]),IFERROR(INDEX(Productos[Línea],MATCH(21,Productos[Posición],0)),IFERROR(IF(INDEX(Productos[Nuevo grupo],MATCH(22,Productos[Posición],0))=1,INDEX(Productos[Encabezado],MATCH(22,Productos[Posición],0)),""),"")),CHOOSE(MIN(21-MAX(Productos[Posición]),6),"","📲 Pedidos: "&amp;Fono,"🕒 "&amp;Horario,"🚚 "&amp;Entrega,"💳 "&amp;Pagos,""))</f>
        <v/>
      </c>
    </row>
    <row r="29" spans="2:2" ht="15.75" x14ac:dyDescent="0.25">
      <c r="B29" s="17" t="str">
        <f ca="1">IF(22&lt;=MAX(Productos[Posición]),IFERROR(INDEX(Productos[Línea],MATCH(22,Productos[Posición],0)),IFERROR(IF(INDEX(Productos[Nuevo grupo],MATCH(23,Productos[Posición],0))=1,INDEX(Productos[Encabezado],MATCH(23,Productos[Posición],0)),""),"")),CHOOSE(MIN(22-MAX(Productos[Posición]),6),"","📲 Pedidos: "&amp;Fono,"🕒 "&amp;Horario,"🚚 "&amp;Entrega,"💳 "&amp;Pagos,""))</f>
        <v/>
      </c>
    </row>
    <row r="30" spans="2:2" ht="15.75" x14ac:dyDescent="0.25">
      <c r="B30" s="17" t="str">
        <f ca="1">IF(23&lt;=MAX(Productos[Posición]),IFERROR(INDEX(Productos[Línea],MATCH(23,Productos[Posición],0)),IFERROR(IF(INDEX(Productos[Nuevo grupo],MATCH(24,Productos[Posición],0))=1,INDEX(Productos[Encabezado],MATCH(24,Productos[Posición],0)),""),"")),CHOOSE(MIN(23-MAX(Productos[Posición]),6),"","📲 Pedidos: "&amp;Fono,"🕒 "&amp;Horario,"🚚 "&amp;Entrega,"💳 "&amp;Pagos,""))</f>
        <v/>
      </c>
    </row>
    <row r="31" spans="2:2" ht="15.75" x14ac:dyDescent="0.25">
      <c r="B31" s="17" t="str">
        <f ca="1">IF(24&lt;=MAX(Productos[Posición]),IFERROR(INDEX(Productos[Línea],MATCH(24,Productos[Posición],0)),IFERROR(IF(INDEX(Productos[Nuevo grupo],MATCH(25,Productos[Posición],0))=1,INDEX(Productos[Encabezado],MATCH(25,Productos[Posición],0)),""),"")),CHOOSE(MIN(24-MAX(Productos[Posición]),6),"","📲 Pedidos: "&amp;Fono,"🕒 "&amp;Horario,"🚚 "&amp;Entrega,"💳 "&amp;Pagos,""))</f>
        <v/>
      </c>
    </row>
    <row r="32" spans="2:2" ht="15.75" x14ac:dyDescent="0.25">
      <c r="B32" s="17" t="str">
        <f ca="1">IF(25&lt;=MAX(Productos[Posición]),IFERROR(INDEX(Productos[Línea],MATCH(25,Productos[Posición],0)),IFERROR(IF(INDEX(Productos[Nuevo grupo],MATCH(26,Productos[Posición],0))=1,INDEX(Productos[Encabezado],MATCH(26,Productos[Posición],0)),""),"")),CHOOSE(MIN(25-MAX(Productos[Posición]),6),"","📲 Pedidos: "&amp;Fono,"🕒 "&amp;Horario,"🚚 "&amp;Entrega,"💳 "&amp;Pagos,""))</f>
        <v/>
      </c>
    </row>
    <row r="33" spans="2:2" ht="15.75" x14ac:dyDescent="0.25">
      <c r="B33" s="17" t="str">
        <f ca="1">IF(26&lt;=MAX(Productos[Posición]),IFERROR(INDEX(Productos[Línea],MATCH(26,Productos[Posición],0)),IFERROR(IF(INDEX(Productos[Nuevo grupo],MATCH(27,Productos[Posición],0))=1,INDEX(Productos[Encabezado],MATCH(27,Productos[Posición],0)),""),"")),CHOOSE(MIN(26-MAX(Productos[Posición]),6),"","📲 Pedidos: "&amp;Fono,"🕒 "&amp;Horario,"🚚 "&amp;Entrega,"💳 "&amp;Pagos,""))</f>
        <v/>
      </c>
    </row>
    <row r="34" spans="2:2" ht="15.75" x14ac:dyDescent="0.25">
      <c r="B34" s="17" t="str">
        <f ca="1">IF(27&lt;=MAX(Productos[Posición]),IFERROR(INDEX(Productos[Línea],MATCH(27,Productos[Posición],0)),IFERROR(IF(INDEX(Productos[Nuevo grupo],MATCH(28,Productos[Posición],0))=1,INDEX(Productos[Encabezado],MATCH(28,Productos[Posición],0)),""),"")),CHOOSE(MIN(27-MAX(Productos[Posición]),6),"","📲 Pedidos: "&amp;Fono,"🕒 "&amp;Horario,"🚚 "&amp;Entrega,"💳 "&amp;Pagos,""))</f>
        <v/>
      </c>
    </row>
    <row r="35" spans="2:2" ht="15.75" x14ac:dyDescent="0.25">
      <c r="B35" s="17" t="str">
        <f ca="1">IF(28&lt;=MAX(Productos[Posición]),IFERROR(INDEX(Productos[Línea],MATCH(28,Productos[Posición],0)),IFERROR(IF(INDEX(Productos[Nuevo grupo],MATCH(29,Productos[Posición],0))=1,INDEX(Productos[Encabezado],MATCH(29,Productos[Posición],0)),""),"")),CHOOSE(MIN(28-MAX(Productos[Posición]),6),"","📲 Pedidos: "&amp;Fono,"🕒 "&amp;Horario,"🚚 "&amp;Entrega,"💳 "&amp;Pagos,""))</f>
        <v/>
      </c>
    </row>
    <row r="36" spans="2:2" ht="15.75" x14ac:dyDescent="0.25">
      <c r="B36" s="17" t="str">
        <f ca="1">IF(29&lt;=MAX(Productos[Posición]),IFERROR(INDEX(Productos[Línea],MATCH(29,Productos[Posición],0)),IFERROR(IF(INDEX(Productos[Nuevo grupo],MATCH(30,Productos[Posición],0))=1,INDEX(Productos[Encabezado],MATCH(30,Productos[Posición],0)),""),"")),CHOOSE(MIN(29-MAX(Productos[Posición]),6),"","📲 Pedidos: "&amp;Fono,"🕒 "&amp;Horario,"🚚 "&amp;Entrega,"💳 "&amp;Pagos,""))</f>
        <v/>
      </c>
    </row>
    <row r="37" spans="2:2" ht="15.75" x14ac:dyDescent="0.25">
      <c r="B37" s="17" t="str">
        <f ca="1">IF(30&lt;=MAX(Productos[Posición]),IFERROR(INDEX(Productos[Línea],MATCH(30,Productos[Posición],0)),IFERROR(IF(INDEX(Productos[Nuevo grupo],MATCH(31,Productos[Posición],0))=1,INDEX(Productos[Encabezado],MATCH(31,Productos[Posición],0)),""),"")),CHOOSE(MIN(30-MAX(Productos[Posición]),6),"","📲 Pedidos: "&amp;Fono,"🕒 "&amp;Horario,"🚚 "&amp;Entrega,"💳 "&amp;Pagos,""))</f>
        <v/>
      </c>
    </row>
    <row r="38" spans="2:2" ht="15.75" x14ac:dyDescent="0.25">
      <c r="B38" s="17" t="str">
        <f ca="1">IF(31&lt;=MAX(Productos[Posición]),IFERROR(INDEX(Productos[Línea],MATCH(31,Productos[Posición],0)),IFERROR(IF(INDEX(Productos[Nuevo grupo],MATCH(32,Productos[Posición],0))=1,INDEX(Productos[Encabezado],MATCH(32,Productos[Posición],0)),""),"")),CHOOSE(MIN(31-MAX(Productos[Posición]),6),"","📲 Pedidos: "&amp;Fono,"🕒 "&amp;Horario,"🚚 "&amp;Entrega,"💳 "&amp;Pagos,""))</f>
        <v/>
      </c>
    </row>
    <row r="39" spans="2:2" ht="15.75" x14ac:dyDescent="0.25">
      <c r="B39" s="17" t="str">
        <f ca="1">IF(32&lt;=MAX(Productos[Posición]),IFERROR(INDEX(Productos[Línea],MATCH(32,Productos[Posición],0)),IFERROR(IF(INDEX(Productos[Nuevo grupo],MATCH(33,Productos[Posición],0))=1,INDEX(Productos[Encabezado],MATCH(33,Productos[Posición],0)),""),"")),CHOOSE(MIN(32-MAX(Productos[Posición]),6),"","📲 Pedidos: "&amp;Fono,"🕒 "&amp;Horario,"🚚 "&amp;Entrega,"💳 "&amp;Pagos,""))</f>
        <v/>
      </c>
    </row>
    <row r="40" spans="2:2" ht="15.75" x14ac:dyDescent="0.25">
      <c r="B40" s="17" t="str">
        <f ca="1">IF(33&lt;=MAX(Productos[Posición]),IFERROR(INDEX(Productos[Línea],MATCH(33,Productos[Posición],0)),IFERROR(IF(INDEX(Productos[Nuevo grupo],MATCH(34,Productos[Posición],0))=1,INDEX(Productos[Encabezado],MATCH(34,Productos[Posición],0)),""),"")),CHOOSE(MIN(33-MAX(Productos[Posición]),6),"","📲 Pedidos: "&amp;Fono,"🕒 "&amp;Horario,"🚚 "&amp;Entrega,"💳 "&amp;Pagos,""))</f>
        <v/>
      </c>
    </row>
    <row r="41" spans="2:2" ht="15.75" x14ac:dyDescent="0.25">
      <c r="B41" s="17" t="str">
        <f ca="1">IF(34&lt;=MAX(Productos[Posición]),IFERROR(INDEX(Productos[Línea],MATCH(34,Productos[Posición],0)),IFERROR(IF(INDEX(Productos[Nuevo grupo],MATCH(35,Productos[Posición],0))=1,INDEX(Productos[Encabezado],MATCH(35,Productos[Posición],0)),""),"")),CHOOSE(MIN(34-MAX(Productos[Posición]),6),"","📲 Pedidos: "&amp;Fono,"🕒 "&amp;Horario,"🚚 "&amp;Entrega,"💳 "&amp;Pagos,""))</f>
        <v/>
      </c>
    </row>
    <row r="42" spans="2:2" ht="15.75" x14ac:dyDescent="0.25">
      <c r="B42" s="17" t="str">
        <f ca="1">IF(35&lt;=MAX(Productos[Posición]),IFERROR(INDEX(Productos[Línea],MATCH(35,Productos[Posición],0)),IFERROR(IF(INDEX(Productos[Nuevo grupo],MATCH(36,Productos[Posición],0))=1,INDEX(Productos[Encabezado],MATCH(36,Productos[Posición],0)),""),"")),CHOOSE(MIN(35-MAX(Productos[Posición]),6),"","📲 Pedidos: "&amp;Fono,"🕒 "&amp;Horario,"🚚 "&amp;Entrega,"💳 "&amp;Pagos,""))</f>
        <v/>
      </c>
    </row>
    <row r="43" spans="2:2" ht="15.75" x14ac:dyDescent="0.25">
      <c r="B43" s="17" t="str">
        <f ca="1">IF(36&lt;=MAX(Productos[Posición]),IFERROR(INDEX(Productos[Línea],MATCH(36,Productos[Posición],0)),IFERROR(IF(INDEX(Productos[Nuevo grupo],MATCH(37,Productos[Posición],0))=1,INDEX(Productos[Encabezado],MATCH(37,Productos[Posición],0)),""),"")),CHOOSE(MIN(36-MAX(Productos[Posición]),6),"","📲 Pedidos: "&amp;Fono,"🕒 "&amp;Horario,"🚚 "&amp;Entrega,"💳 "&amp;Pagos,""))</f>
        <v/>
      </c>
    </row>
    <row r="44" spans="2:2" ht="15.75" x14ac:dyDescent="0.25">
      <c r="B44" s="17" t="str">
        <f ca="1">IF(37&lt;=MAX(Productos[Posición]),IFERROR(INDEX(Productos[Línea],MATCH(37,Productos[Posición],0)),IFERROR(IF(INDEX(Productos[Nuevo grupo],MATCH(38,Productos[Posición],0))=1,INDEX(Productos[Encabezado],MATCH(38,Productos[Posición],0)),""),"")),CHOOSE(MIN(37-MAX(Productos[Posición]),6),"","📲 Pedidos: "&amp;Fono,"🕒 "&amp;Horario,"🚚 "&amp;Entrega,"💳 "&amp;Pagos,""))</f>
        <v/>
      </c>
    </row>
    <row r="45" spans="2:2" ht="15.75" x14ac:dyDescent="0.25">
      <c r="B45" s="17" t="str">
        <f ca="1">IF(38&lt;=MAX(Productos[Posición]),IFERROR(INDEX(Productos[Línea],MATCH(38,Productos[Posición],0)),IFERROR(IF(INDEX(Productos[Nuevo grupo],MATCH(39,Productos[Posición],0))=1,INDEX(Productos[Encabezado],MATCH(39,Productos[Posición],0)),""),"")),CHOOSE(MIN(38-MAX(Productos[Posición]),6),"","📲 Pedidos: "&amp;Fono,"🕒 "&amp;Horario,"🚚 "&amp;Entrega,"💳 "&amp;Pagos,""))</f>
        <v/>
      </c>
    </row>
    <row r="46" spans="2:2" ht="15.75" x14ac:dyDescent="0.25">
      <c r="B46" s="17" t="str">
        <f ca="1">IF(39&lt;=MAX(Productos[Posición]),IFERROR(INDEX(Productos[Línea],MATCH(39,Productos[Posición],0)),IFERROR(IF(INDEX(Productos[Nuevo grupo],MATCH(40,Productos[Posición],0))=1,INDEX(Productos[Encabezado],MATCH(40,Productos[Posición],0)),""),"")),CHOOSE(MIN(39-MAX(Productos[Posición]),6),"","📲 Pedidos: "&amp;Fono,"🕒 "&amp;Horario,"🚚 "&amp;Entrega,"💳 "&amp;Pagos,""))</f>
        <v/>
      </c>
    </row>
    <row r="47" spans="2:2" ht="15.75" x14ac:dyDescent="0.25">
      <c r="B47" s="17" t="str">
        <f ca="1">IF(40&lt;=MAX(Productos[Posición]),IFERROR(INDEX(Productos[Línea],MATCH(40,Productos[Posición],0)),IFERROR(IF(INDEX(Productos[Nuevo grupo],MATCH(41,Productos[Posición],0))=1,INDEX(Productos[Encabezado],MATCH(41,Productos[Posición],0)),""),"")),CHOOSE(MIN(40-MAX(Productos[Posición]),6),"","📲 Pedidos: "&amp;Fono,"🕒 "&amp;Horario,"🚚 "&amp;Entrega,"💳 "&amp;Pagos,""))</f>
        <v/>
      </c>
    </row>
    <row r="48" spans="2:2" ht="15.75" x14ac:dyDescent="0.25">
      <c r="B48" s="17" t="str">
        <f ca="1">IF(41&lt;=MAX(Productos[Posición]),IFERROR(INDEX(Productos[Línea],MATCH(41,Productos[Posición],0)),IFERROR(IF(INDEX(Productos[Nuevo grupo],MATCH(42,Productos[Posición],0))=1,INDEX(Productos[Encabezado],MATCH(42,Productos[Posición],0)),""),"")),CHOOSE(MIN(41-MAX(Productos[Posición]),6),"","📲 Pedidos: "&amp;Fono,"🕒 "&amp;Horario,"🚚 "&amp;Entrega,"💳 "&amp;Pagos,""))</f>
        <v/>
      </c>
    </row>
    <row r="49" spans="2:2" ht="15.75" x14ac:dyDescent="0.25">
      <c r="B49" s="17" t="str">
        <f ca="1">IF(42&lt;=MAX(Productos[Posición]),IFERROR(INDEX(Productos[Línea],MATCH(42,Productos[Posición],0)),IFERROR(IF(INDEX(Productos[Nuevo grupo],MATCH(43,Productos[Posición],0))=1,INDEX(Productos[Encabezado],MATCH(43,Productos[Posición],0)),""),"")),CHOOSE(MIN(42-MAX(Productos[Posición]),6),"","📲 Pedidos: "&amp;Fono,"🕒 "&amp;Horario,"🚚 "&amp;Entrega,"💳 "&amp;Pagos,""))</f>
        <v/>
      </c>
    </row>
    <row r="50" spans="2:2" ht="15.75" x14ac:dyDescent="0.25">
      <c r="B50" s="17" t="str">
        <f ca="1">IF(43&lt;=MAX(Productos[Posición]),IFERROR(INDEX(Productos[Línea],MATCH(43,Productos[Posición],0)),IFERROR(IF(INDEX(Productos[Nuevo grupo],MATCH(44,Productos[Posición],0))=1,INDEX(Productos[Encabezado],MATCH(44,Productos[Posición],0)),""),"")),CHOOSE(MIN(43-MAX(Productos[Posición]),6),"","📲 Pedidos: "&amp;Fono,"🕒 "&amp;Horario,"🚚 "&amp;Entrega,"💳 "&amp;Pagos,""))</f>
        <v/>
      </c>
    </row>
    <row r="51" spans="2:2" ht="15.75" x14ac:dyDescent="0.25">
      <c r="B51" s="17" t="str">
        <f ca="1">IF(44&lt;=MAX(Productos[Posición]),IFERROR(INDEX(Productos[Línea],MATCH(44,Productos[Posición],0)),IFERROR(IF(INDEX(Productos[Nuevo grupo],MATCH(45,Productos[Posición],0))=1,INDEX(Productos[Encabezado],MATCH(45,Productos[Posición],0)),""),"")),CHOOSE(MIN(44-MAX(Productos[Posición]),6),"","📲 Pedidos: "&amp;Fono,"🕒 "&amp;Horario,"🚚 "&amp;Entrega,"💳 "&amp;Pagos,""))</f>
        <v/>
      </c>
    </row>
    <row r="52" spans="2:2" ht="15.75" x14ac:dyDescent="0.25">
      <c r="B52" s="17" t="str">
        <f ca="1">IF(45&lt;=MAX(Productos[Posición]),IFERROR(INDEX(Productos[Línea],MATCH(45,Productos[Posición],0)),IFERROR(IF(INDEX(Productos[Nuevo grupo],MATCH(46,Productos[Posición],0))=1,INDEX(Productos[Encabezado],MATCH(46,Productos[Posición],0)),""),"")),CHOOSE(MIN(45-MAX(Productos[Posición]),6),"","📲 Pedidos: "&amp;Fono,"🕒 "&amp;Horario,"🚚 "&amp;Entrega,"💳 "&amp;Pagos,""))</f>
        <v/>
      </c>
    </row>
    <row r="53" spans="2:2" ht="15.75" x14ac:dyDescent="0.25">
      <c r="B53" s="17" t="str">
        <f ca="1">IF(46&lt;=MAX(Productos[Posición]),IFERROR(INDEX(Productos[Línea],MATCH(46,Productos[Posición],0)),IFERROR(IF(INDEX(Productos[Nuevo grupo],MATCH(47,Productos[Posición],0))=1,INDEX(Productos[Encabezado],MATCH(47,Productos[Posición],0)),""),"")),CHOOSE(MIN(46-MAX(Productos[Posición]),6),"","📲 Pedidos: "&amp;Fono,"🕒 "&amp;Horario,"🚚 "&amp;Entrega,"💳 "&amp;Pagos,""))</f>
        <v/>
      </c>
    </row>
    <row r="54" spans="2:2" ht="15.75" x14ac:dyDescent="0.25">
      <c r="B54" s="17" t="str">
        <f ca="1">IF(47&lt;=MAX(Productos[Posición]),IFERROR(INDEX(Productos[Línea],MATCH(47,Productos[Posición],0)),IFERROR(IF(INDEX(Productos[Nuevo grupo],MATCH(48,Productos[Posición],0))=1,INDEX(Productos[Encabezado],MATCH(48,Productos[Posición],0)),""),"")),CHOOSE(MIN(47-MAX(Productos[Posición]),6),"","📲 Pedidos: "&amp;Fono,"🕒 "&amp;Horario,"🚚 "&amp;Entrega,"💳 "&amp;Pagos,""))</f>
        <v/>
      </c>
    </row>
    <row r="55" spans="2:2" ht="15.75" x14ac:dyDescent="0.25">
      <c r="B55" s="17" t="str">
        <f ca="1">IF(48&lt;=MAX(Productos[Posición]),IFERROR(INDEX(Productos[Línea],MATCH(48,Productos[Posición],0)),IFERROR(IF(INDEX(Productos[Nuevo grupo],MATCH(49,Productos[Posición],0))=1,INDEX(Productos[Encabezado],MATCH(49,Productos[Posición],0)),""),"")),CHOOSE(MIN(48-MAX(Productos[Posición]),6),"","📲 Pedidos: "&amp;Fono,"🕒 "&amp;Horario,"🚚 "&amp;Entrega,"💳 "&amp;Pagos,""))</f>
        <v/>
      </c>
    </row>
    <row r="56" spans="2:2" ht="15.75" x14ac:dyDescent="0.25">
      <c r="B56" s="17" t="str">
        <f ca="1">IF(49&lt;=MAX(Productos[Posición]),IFERROR(INDEX(Productos[Línea],MATCH(49,Productos[Posición],0)),IFERROR(IF(INDEX(Productos[Nuevo grupo],MATCH(50,Productos[Posición],0))=1,INDEX(Productos[Encabezado],MATCH(50,Productos[Posición],0)),""),"")),CHOOSE(MIN(49-MAX(Productos[Posición]),6),"","📲 Pedidos: "&amp;Fono,"🕒 "&amp;Horario,"🚚 "&amp;Entrega,"💳 "&amp;Pagos,""))</f>
        <v/>
      </c>
    </row>
    <row r="57" spans="2:2" ht="15.75" x14ac:dyDescent="0.25">
      <c r="B57" s="17" t="str">
        <f ca="1">IF(50&lt;=MAX(Productos[Posición]),IFERROR(INDEX(Productos[Línea],MATCH(50,Productos[Posición],0)),IFERROR(IF(INDEX(Productos[Nuevo grupo],MATCH(51,Productos[Posición],0))=1,INDEX(Productos[Encabezado],MATCH(51,Productos[Posición],0)),""),"")),CHOOSE(MIN(50-MAX(Productos[Posición]),6),"","📲 Pedidos: "&amp;Fono,"🕒 "&amp;Horario,"🚚 "&amp;Entrega,"💳 "&amp;Pagos,""))</f>
        <v/>
      </c>
    </row>
    <row r="58" spans="2:2" ht="15.75" x14ac:dyDescent="0.25">
      <c r="B58" s="17" t="str">
        <f ca="1">IF(51&lt;=MAX(Productos[Posición]),IFERROR(INDEX(Productos[Línea],MATCH(51,Productos[Posición],0)),IFERROR(IF(INDEX(Productos[Nuevo grupo],MATCH(52,Productos[Posición],0))=1,INDEX(Productos[Encabezado],MATCH(52,Productos[Posición],0)),""),"")),CHOOSE(MIN(51-MAX(Productos[Posición]),6),"","📲 Pedidos: "&amp;Fono,"🕒 "&amp;Horario,"🚚 "&amp;Entrega,"💳 "&amp;Pagos,""))</f>
        <v/>
      </c>
    </row>
    <row r="59" spans="2:2" ht="15.75" x14ac:dyDescent="0.25">
      <c r="B59" s="17" t="str">
        <f ca="1">IF(52&lt;=MAX(Productos[Posición]),IFERROR(INDEX(Productos[Línea],MATCH(52,Productos[Posición],0)),IFERROR(IF(INDEX(Productos[Nuevo grupo],MATCH(53,Productos[Posición],0))=1,INDEX(Productos[Encabezado],MATCH(53,Productos[Posición],0)),""),"")),CHOOSE(MIN(52-MAX(Productos[Posición]),6),"","📲 Pedidos: "&amp;Fono,"🕒 "&amp;Horario,"🚚 "&amp;Entrega,"💳 "&amp;Pagos,""))</f>
        <v/>
      </c>
    </row>
    <row r="60" spans="2:2" ht="15.75" x14ac:dyDescent="0.25">
      <c r="B60" s="17" t="str">
        <f ca="1">IF(53&lt;=MAX(Productos[Posición]),IFERROR(INDEX(Productos[Línea],MATCH(53,Productos[Posición],0)),IFERROR(IF(INDEX(Productos[Nuevo grupo],MATCH(54,Productos[Posición],0))=1,INDEX(Productos[Encabezado],MATCH(54,Productos[Posición],0)),""),"")),CHOOSE(MIN(53-MAX(Productos[Posición]),6),"","📲 Pedidos: "&amp;Fono,"🕒 "&amp;Horario,"🚚 "&amp;Entrega,"💳 "&amp;Pagos,""))</f>
        <v/>
      </c>
    </row>
    <row r="61" spans="2:2" ht="15.75" x14ac:dyDescent="0.25">
      <c r="B61" s="17" t="str">
        <f ca="1">IF(54&lt;=MAX(Productos[Posición]),IFERROR(INDEX(Productos[Línea],MATCH(54,Productos[Posición],0)),IFERROR(IF(INDEX(Productos[Nuevo grupo],MATCH(55,Productos[Posición],0))=1,INDEX(Productos[Encabezado],MATCH(55,Productos[Posición],0)),""),"")),CHOOSE(MIN(54-MAX(Productos[Posición]),6),"","📲 Pedidos: "&amp;Fono,"🕒 "&amp;Horario,"🚚 "&amp;Entrega,"💳 "&amp;Pagos,""))</f>
        <v/>
      </c>
    </row>
    <row r="62" spans="2:2" ht="15.75" x14ac:dyDescent="0.25">
      <c r="B62" s="17" t="str">
        <f ca="1">IF(55&lt;=MAX(Productos[Posición]),IFERROR(INDEX(Productos[Línea],MATCH(55,Productos[Posición],0)),IFERROR(IF(INDEX(Productos[Nuevo grupo],MATCH(56,Productos[Posición],0))=1,INDEX(Productos[Encabezado],MATCH(56,Productos[Posición],0)),""),"")),CHOOSE(MIN(55-MAX(Productos[Posición]),6),"","📲 Pedidos: "&amp;Fono,"🕒 "&amp;Horario,"🚚 "&amp;Entrega,"💳 "&amp;Pagos,""))</f>
        <v/>
      </c>
    </row>
    <row r="63" spans="2:2" ht="15.75" x14ac:dyDescent="0.25">
      <c r="B63" s="17" t="str">
        <f ca="1">IF(56&lt;=MAX(Productos[Posición]),IFERROR(INDEX(Productos[Línea],MATCH(56,Productos[Posición],0)),IFERROR(IF(INDEX(Productos[Nuevo grupo],MATCH(57,Productos[Posición],0))=1,INDEX(Productos[Encabezado],MATCH(57,Productos[Posición],0)),""),"")),CHOOSE(MIN(56-MAX(Productos[Posición]),6),"","📲 Pedidos: "&amp;Fono,"🕒 "&amp;Horario,"🚚 "&amp;Entrega,"💳 "&amp;Pagos,""))</f>
        <v/>
      </c>
    </row>
    <row r="64" spans="2:2" ht="15.75" x14ac:dyDescent="0.25">
      <c r="B64" s="17" t="str">
        <f ca="1">IF(57&lt;=MAX(Productos[Posición]),IFERROR(INDEX(Productos[Línea],MATCH(57,Productos[Posición],0)),IFERROR(IF(INDEX(Productos[Nuevo grupo],MATCH(58,Productos[Posición],0))=1,INDEX(Productos[Encabezado],MATCH(58,Productos[Posición],0)),""),"")),CHOOSE(MIN(57-MAX(Productos[Posición]),6),"","📲 Pedidos: "&amp;Fono,"🕒 "&amp;Horario,"🚚 "&amp;Entrega,"💳 "&amp;Pagos,""))</f>
        <v/>
      </c>
    </row>
    <row r="65" spans="2:2" ht="15.75" x14ac:dyDescent="0.25">
      <c r="B65" s="17" t="str">
        <f ca="1">IF(58&lt;=MAX(Productos[Posición]),IFERROR(INDEX(Productos[Línea],MATCH(58,Productos[Posición],0)),IFERROR(IF(INDEX(Productos[Nuevo grupo],MATCH(59,Productos[Posición],0))=1,INDEX(Productos[Encabezado],MATCH(59,Productos[Posición],0)),""),"")),CHOOSE(MIN(58-MAX(Productos[Posición]),6),"","📲 Pedidos: "&amp;Fono,"🕒 "&amp;Horario,"🚚 "&amp;Entrega,"💳 "&amp;Pagos,""))</f>
        <v/>
      </c>
    </row>
    <row r="66" spans="2:2" ht="15.75" x14ac:dyDescent="0.25">
      <c r="B66" s="17" t="str">
        <f ca="1">IF(59&lt;=MAX(Productos[Posición]),IFERROR(INDEX(Productos[Línea],MATCH(59,Productos[Posición],0)),IFERROR(IF(INDEX(Productos[Nuevo grupo],MATCH(60,Productos[Posición],0))=1,INDEX(Productos[Encabezado],MATCH(60,Productos[Posición],0)),""),"")),CHOOSE(MIN(59-MAX(Productos[Posición]),6),"","📲 Pedidos: "&amp;Fono,"🕒 "&amp;Horario,"🚚 "&amp;Entrega,"💳 "&amp;Pagos,""))</f>
        <v/>
      </c>
    </row>
    <row r="67" spans="2:2" ht="15.75" x14ac:dyDescent="0.25">
      <c r="B67" s="17" t="str">
        <f ca="1">IF(60&lt;=MAX(Productos[Posición]),IFERROR(INDEX(Productos[Línea],MATCH(60,Productos[Posición],0)),IFERROR(IF(INDEX(Productos[Nuevo grupo],MATCH(61,Productos[Posición],0))=1,INDEX(Productos[Encabezado],MATCH(61,Productos[Posición],0)),""),"")),CHOOSE(MIN(60-MAX(Productos[Posición]),6),"","📲 Pedidos: "&amp;Fono,"🕒 "&amp;Horario,"🚚 "&amp;Entrega,"💳 "&amp;Pagos,""))</f>
        <v/>
      </c>
    </row>
    <row r="68" spans="2:2" ht="15.75" x14ac:dyDescent="0.25">
      <c r="B68" s="17" t="str">
        <f ca="1">IF(61&lt;=MAX(Productos[Posición]),IFERROR(INDEX(Productos[Línea],MATCH(61,Productos[Posición],0)),IFERROR(IF(INDEX(Productos[Nuevo grupo],MATCH(62,Productos[Posición],0))=1,INDEX(Productos[Encabezado],MATCH(62,Productos[Posición],0)),""),"")),CHOOSE(MIN(61-MAX(Productos[Posición]),6),"","📲 Pedidos: "&amp;Fono,"🕒 "&amp;Horario,"🚚 "&amp;Entrega,"💳 "&amp;Pagos,""))</f>
        <v/>
      </c>
    </row>
    <row r="69" spans="2:2" ht="15.75" x14ac:dyDescent="0.25">
      <c r="B69" s="17" t="str">
        <f ca="1">IF(62&lt;=MAX(Productos[Posición]),IFERROR(INDEX(Productos[Línea],MATCH(62,Productos[Posición],0)),IFERROR(IF(INDEX(Productos[Nuevo grupo],MATCH(63,Productos[Posición],0))=1,INDEX(Productos[Encabezado],MATCH(63,Productos[Posición],0)),""),"")),CHOOSE(MIN(62-MAX(Productos[Posición]),6),"","📲 Pedidos: "&amp;Fono,"🕒 "&amp;Horario,"🚚 "&amp;Entrega,"💳 "&amp;Pagos,""))</f>
        <v/>
      </c>
    </row>
    <row r="70" spans="2:2" ht="15.75" x14ac:dyDescent="0.25">
      <c r="B70" s="17" t="str">
        <f ca="1">IF(63&lt;=MAX(Productos[Posición]),IFERROR(INDEX(Productos[Línea],MATCH(63,Productos[Posición],0)),IFERROR(IF(INDEX(Productos[Nuevo grupo],MATCH(64,Productos[Posición],0))=1,INDEX(Productos[Encabezado],MATCH(64,Productos[Posición],0)),""),"")),CHOOSE(MIN(63-MAX(Productos[Posición]),6),"","📲 Pedidos: "&amp;Fono,"🕒 "&amp;Horario,"🚚 "&amp;Entrega,"💳 "&amp;Pagos,""))</f>
        <v/>
      </c>
    </row>
    <row r="71" spans="2:2" ht="15.75" x14ac:dyDescent="0.25">
      <c r="B71" s="17" t="str">
        <f ca="1">IF(64&lt;=MAX(Productos[Posición]),IFERROR(INDEX(Productos[Línea],MATCH(64,Productos[Posición],0)),IFERROR(IF(INDEX(Productos[Nuevo grupo],MATCH(65,Productos[Posición],0))=1,INDEX(Productos[Encabezado],MATCH(65,Productos[Posición],0)),""),"")),CHOOSE(MIN(64-MAX(Productos[Posición]),6),"","📲 Pedidos: "&amp;Fono,"🕒 "&amp;Horario,"🚚 "&amp;Entrega,"💳 "&amp;Pagos,""))</f>
        <v/>
      </c>
    </row>
    <row r="72" spans="2:2" ht="15.75" x14ac:dyDescent="0.25">
      <c r="B72" s="17" t="str">
        <f ca="1">IF(65&lt;=MAX(Productos[Posición]),IFERROR(INDEX(Productos[Línea],MATCH(65,Productos[Posición],0)),IFERROR(IF(INDEX(Productos[Nuevo grupo],MATCH(66,Productos[Posición],0))=1,INDEX(Productos[Encabezado],MATCH(66,Productos[Posición],0)),""),"")),CHOOSE(MIN(65-MAX(Productos[Posición]),6),"","📲 Pedidos: "&amp;Fono,"🕒 "&amp;Horario,"🚚 "&amp;Entrega,"💳 "&amp;Pagos,""))</f>
        <v/>
      </c>
    </row>
    <row r="73" spans="2:2" ht="15.75" x14ac:dyDescent="0.25">
      <c r="B73" s="17" t="str">
        <f ca="1">IF(66&lt;=MAX(Productos[Posición]),IFERROR(INDEX(Productos[Línea],MATCH(66,Productos[Posición],0)),IFERROR(IF(INDEX(Productos[Nuevo grupo],MATCH(67,Productos[Posición],0))=1,INDEX(Productos[Encabezado],MATCH(67,Productos[Posición],0)),""),"")),CHOOSE(MIN(66-MAX(Productos[Posición]),6),"","📲 Pedidos: "&amp;Fono,"🕒 "&amp;Horario,"🚚 "&amp;Entrega,"💳 "&amp;Pagos,""))</f>
        <v/>
      </c>
    </row>
    <row r="74" spans="2:2" ht="15.75" x14ac:dyDescent="0.25">
      <c r="B74" s="17" t="str">
        <f ca="1">IF(67&lt;=MAX(Productos[Posición]),IFERROR(INDEX(Productos[Línea],MATCH(67,Productos[Posición],0)),IFERROR(IF(INDEX(Productos[Nuevo grupo],MATCH(68,Productos[Posición],0))=1,INDEX(Productos[Encabezado],MATCH(68,Productos[Posición],0)),""),"")),CHOOSE(MIN(67-MAX(Productos[Posición]),6),"","📲 Pedidos: "&amp;Fono,"🕒 "&amp;Horario,"🚚 "&amp;Entrega,"💳 "&amp;Pagos,""))</f>
        <v/>
      </c>
    </row>
    <row r="75" spans="2:2" ht="15.75" x14ac:dyDescent="0.25">
      <c r="B75" s="17" t="str">
        <f ca="1">IF(68&lt;=MAX(Productos[Posición]),IFERROR(INDEX(Productos[Línea],MATCH(68,Productos[Posición],0)),IFERROR(IF(INDEX(Productos[Nuevo grupo],MATCH(69,Productos[Posición],0))=1,INDEX(Productos[Encabezado],MATCH(69,Productos[Posición],0)),""),"")),CHOOSE(MIN(68-MAX(Productos[Posición]),6),"","📲 Pedidos: "&amp;Fono,"🕒 "&amp;Horario,"🚚 "&amp;Entrega,"💳 "&amp;Pagos,""))</f>
        <v/>
      </c>
    </row>
    <row r="76" spans="2:2" ht="15.75" x14ac:dyDescent="0.25">
      <c r="B76" s="17" t="str">
        <f ca="1">IF(69&lt;=MAX(Productos[Posición]),IFERROR(INDEX(Productos[Línea],MATCH(69,Productos[Posición],0)),IFERROR(IF(INDEX(Productos[Nuevo grupo],MATCH(70,Productos[Posición],0))=1,INDEX(Productos[Encabezado],MATCH(70,Productos[Posición],0)),""),"")),CHOOSE(MIN(69-MAX(Productos[Posición]),6),"","📲 Pedidos: "&amp;Fono,"🕒 "&amp;Horario,"🚚 "&amp;Entrega,"💳 "&amp;Pagos,""))</f>
        <v/>
      </c>
    </row>
    <row r="77" spans="2:2" ht="15.75" x14ac:dyDescent="0.25">
      <c r="B77" s="17" t="str">
        <f ca="1">IF(70&lt;=MAX(Productos[Posición]),IFERROR(INDEX(Productos[Línea],MATCH(70,Productos[Posición],0)),IFERROR(IF(INDEX(Productos[Nuevo grupo],MATCH(71,Productos[Posición],0))=1,INDEX(Productos[Encabezado],MATCH(71,Productos[Posición],0)),""),"")),CHOOSE(MIN(70-MAX(Productos[Posición]),6),"","📲 Pedidos: "&amp;Fono,"🕒 "&amp;Horario,"🚚 "&amp;Entrega,"💳 "&amp;Pagos,""))</f>
        <v/>
      </c>
    </row>
    <row r="78" spans="2:2" ht="15.75" x14ac:dyDescent="0.25">
      <c r="B78" s="17" t="str">
        <f ca="1">IF(71&lt;=MAX(Productos[Posición]),IFERROR(INDEX(Productos[Línea],MATCH(71,Productos[Posición],0)),IFERROR(IF(INDEX(Productos[Nuevo grupo],MATCH(72,Productos[Posición],0))=1,INDEX(Productos[Encabezado],MATCH(72,Productos[Posición],0)),""),"")),CHOOSE(MIN(71-MAX(Productos[Posición]),6),"","📲 Pedidos: "&amp;Fono,"🕒 "&amp;Horario,"🚚 "&amp;Entrega,"💳 "&amp;Pagos,""))</f>
        <v/>
      </c>
    </row>
    <row r="79" spans="2:2" ht="15.75" x14ac:dyDescent="0.25">
      <c r="B79" s="17" t="str">
        <f ca="1">IF(72&lt;=MAX(Productos[Posición]),IFERROR(INDEX(Productos[Línea],MATCH(72,Productos[Posición],0)),IFERROR(IF(INDEX(Productos[Nuevo grupo],MATCH(73,Productos[Posición],0))=1,INDEX(Productos[Encabezado],MATCH(73,Productos[Posición],0)),""),"")),CHOOSE(MIN(72-MAX(Productos[Posición]),6),"","📲 Pedidos: "&amp;Fono,"🕒 "&amp;Horario,"🚚 "&amp;Entrega,"💳 "&amp;Pagos,""))</f>
        <v/>
      </c>
    </row>
    <row r="80" spans="2:2" ht="15.75" x14ac:dyDescent="0.25">
      <c r="B80" s="17" t="str">
        <f ca="1">IF(73&lt;=MAX(Productos[Posición]),IFERROR(INDEX(Productos[Línea],MATCH(73,Productos[Posición],0)),IFERROR(IF(INDEX(Productos[Nuevo grupo],MATCH(74,Productos[Posición],0))=1,INDEX(Productos[Encabezado],MATCH(74,Productos[Posición],0)),""),"")),CHOOSE(MIN(73-MAX(Productos[Posición]),6),"","📲 Pedidos: "&amp;Fono,"🕒 "&amp;Horario,"🚚 "&amp;Entrega,"💳 "&amp;Pagos,""))</f>
        <v/>
      </c>
    </row>
    <row r="81" spans="2:2" ht="15.75" x14ac:dyDescent="0.25">
      <c r="B81" s="17" t="str">
        <f ca="1">IF(74&lt;=MAX(Productos[Posición]),IFERROR(INDEX(Productos[Línea],MATCH(74,Productos[Posición],0)),IFERROR(IF(INDEX(Productos[Nuevo grupo],MATCH(75,Productos[Posición],0))=1,INDEX(Productos[Encabezado],MATCH(75,Productos[Posición],0)),""),"")),CHOOSE(MIN(74-MAX(Productos[Posición]),6),"","📲 Pedidos: "&amp;Fono,"🕒 "&amp;Horario,"🚚 "&amp;Entrega,"💳 "&amp;Pagos,""))</f>
        <v/>
      </c>
    </row>
    <row r="82" spans="2:2" ht="15.75" x14ac:dyDescent="0.25">
      <c r="B82" s="17" t="str">
        <f ca="1">IF(75&lt;=MAX(Productos[Posición]),IFERROR(INDEX(Productos[Línea],MATCH(75,Productos[Posición],0)),IFERROR(IF(INDEX(Productos[Nuevo grupo],MATCH(76,Productos[Posición],0))=1,INDEX(Productos[Encabezado],MATCH(76,Productos[Posición],0)),""),"")),CHOOSE(MIN(75-MAX(Productos[Posición]),6),"","📲 Pedidos: "&amp;Fono,"🕒 "&amp;Horario,"🚚 "&amp;Entrega,"💳 "&amp;Pagos,""))</f>
        <v/>
      </c>
    </row>
    <row r="83" spans="2:2" ht="15.75" x14ac:dyDescent="0.25">
      <c r="B83" s="17" t="str">
        <f ca="1">IF(76&lt;=MAX(Productos[Posición]),IFERROR(INDEX(Productos[Línea],MATCH(76,Productos[Posición],0)),IFERROR(IF(INDEX(Productos[Nuevo grupo],MATCH(77,Productos[Posición],0))=1,INDEX(Productos[Encabezado],MATCH(77,Productos[Posición],0)),""),"")),CHOOSE(MIN(76-MAX(Productos[Posición]),6),"","📲 Pedidos: "&amp;Fono,"🕒 "&amp;Horario,"🚚 "&amp;Entrega,"💳 "&amp;Pagos,""))</f>
        <v/>
      </c>
    </row>
    <row r="84" spans="2:2" ht="15.75" x14ac:dyDescent="0.25">
      <c r="B84" s="17" t="str">
        <f ca="1">IF(77&lt;=MAX(Productos[Posición]),IFERROR(INDEX(Productos[Línea],MATCH(77,Productos[Posición],0)),IFERROR(IF(INDEX(Productos[Nuevo grupo],MATCH(78,Productos[Posición],0))=1,INDEX(Productos[Encabezado],MATCH(78,Productos[Posición],0)),""),"")),CHOOSE(MIN(77-MAX(Productos[Posición]),6),"","📲 Pedidos: "&amp;Fono,"🕒 "&amp;Horario,"🚚 "&amp;Entrega,"💳 "&amp;Pagos,""))</f>
        <v/>
      </c>
    </row>
    <row r="85" spans="2:2" ht="15.75" x14ac:dyDescent="0.25">
      <c r="B85" s="17" t="str">
        <f ca="1">IF(78&lt;=MAX(Productos[Posición]),IFERROR(INDEX(Productos[Línea],MATCH(78,Productos[Posición],0)),IFERROR(IF(INDEX(Productos[Nuevo grupo],MATCH(79,Productos[Posición],0))=1,INDEX(Productos[Encabezado],MATCH(79,Productos[Posición],0)),""),"")),CHOOSE(MIN(78-MAX(Productos[Posición]),6),"","📲 Pedidos: "&amp;Fono,"🕒 "&amp;Horario,"🚚 "&amp;Entrega,"💳 "&amp;Pagos,""))</f>
        <v/>
      </c>
    </row>
    <row r="86" spans="2:2" ht="15.75" x14ac:dyDescent="0.25">
      <c r="B86" s="17" t="str">
        <f ca="1">IF(79&lt;=MAX(Productos[Posición]),IFERROR(INDEX(Productos[Línea],MATCH(79,Productos[Posición],0)),IFERROR(IF(INDEX(Productos[Nuevo grupo],MATCH(80,Productos[Posición],0))=1,INDEX(Productos[Encabezado],MATCH(80,Productos[Posición],0)),""),"")),CHOOSE(MIN(79-MAX(Productos[Posición]),6),"","📲 Pedidos: "&amp;Fono,"🕒 "&amp;Horario,"🚚 "&amp;Entrega,"💳 "&amp;Pagos,""))</f>
        <v/>
      </c>
    </row>
    <row r="87" spans="2:2" ht="15.75" x14ac:dyDescent="0.25">
      <c r="B87" s="17" t="str">
        <f ca="1">IF(80&lt;=MAX(Productos[Posición]),IFERROR(INDEX(Productos[Línea],MATCH(80,Productos[Posición],0)),IFERROR(IF(INDEX(Productos[Nuevo grupo],MATCH(81,Productos[Posición],0))=1,INDEX(Productos[Encabezado],MATCH(81,Productos[Posición],0)),""),"")),CHOOSE(MIN(80-MAX(Productos[Posición]),6),"","📲 Pedidos: "&amp;Fono,"🕒 "&amp;Horario,"🚚 "&amp;Entrega,"💳 "&amp;Pagos,""))</f>
        <v/>
      </c>
    </row>
    <row r="88" spans="2:2" ht="15.75" x14ac:dyDescent="0.25">
      <c r="B88" s="17" t="str">
        <f ca="1">IF(81&lt;=MAX(Productos[Posición]),IFERROR(INDEX(Productos[Línea],MATCH(81,Productos[Posición],0)),IFERROR(IF(INDEX(Productos[Nuevo grupo],MATCH(82,Productos[Posición],0))=1,INDEX(Productos[Encabezado],MATCH(82,Productos[Posición],0)),""),"")),CHOOSE(MIN(81-MAX(Productos[Posición]),6),"","📲 Pedidos: "&amp;Fono,"🕒 "&amp;Horario,"🚚 "&amp;Entrega,"💳 "&amp;Pagos,""))</f>
        <v/>
      </c>
    </row>
    <row r="89" spans="2:2" ht="15.75" x14ac:dyDescent="0.25">
      <c r="B89" s="17" t="str">
        <f ca="1">IF(82&lt;=MAX(Productos[Posición]),IFERROR(INDEX(Productos[Línea],MATCH(82,Productos[Posición],0)),IFERROR(IF(INDEX(Productos[Nuevo grupo],MATCH(83,Productos[Posición],0))=1,INDEX(Productos[Encabezado],MATCH(83,Productos[Posición],0)),""),"")),CHOOSE(MIN(82-MAX(Productos[Posición]),6),"","📲 Pedidos: "&amp;Fono,"🕒 "&amp;Horario,"🚚 "&amp;Entrega,"💳 "&amp;Pagos,""))</f>
        <v/>
      </c>
    </row>
    <row r="90" spans="2:2" ht="15.75" x14ac:dyDescent="0.25">
      <c r="B90" s="17" t="str">
        <f ca="1">IF(83&lt;=MAX(Productos[Posición]),IFERROR(INDEX(Productos[Línea],MATCH(83,Productos[Posición],0)),IFERROR(IF(INDEX(Productos[Nuevo grupo],MATCH(84,Productos[Posición],0))=1,INDEX(Productos[Encabezado],MATCH(84,Productos[Posición],0)),""),"")),CHOOSE(MIN(83-MAX(Productos[Posición]),6),"","📲 Pedidos: "&amp;Fono,"🕒 "&amp;Horario,"🚚 "&amp;Entrega,"💳 "&amp;Pagos,""))</f>
        <v/>
      </c>
    </row>
    <row r="91" spans="2:2" ht="15.75" x14ac:dyDescent="0.25">
      <c r="B91" s="17" t="str">
        <f ca="1">IF(84&lt;=MAX(Productos[Posición]),IFERROR(INDEX(Productos[Línea],MATCH(84,Productos[Posición],0)),IFERROR(IF(INDEX(Productos[Nuevo grupo],MATCH(85,Productos[Posición],0))=1,INDEX(Productos[Encabezado],MATCH(85,Productos[Posición],0)),""),"")),CHOOSE(MIN(84-MAX(Productos[Posición]),6),"","📲 Pedidos: "&amp;Fono,"🕒 "&amp;Horario,"🚚 "&amp;Entrega,"💳 "&amp;Pagos,""))</f>
        <v/>
      </c>
    </row>
    <row r="92" spans="2:2" ht="15.75" x14ac:dyDescent="0.25">
      <c r="B92" s="17" t="str">
        <f ca="1">IF(85&lt;=MAX(Productos[Posición]),IFERROR(INDEX(Productos[Línea],MATCH(85,Productos[Posición],0)),IFERROR(IF(INDEX(Productos[Nuevo grupo],MATCH(86,Productos[Posición],0))=1,INDEX(Productos[Encabezado],MATCH(86,Productos[Posición],0)),""),"")),CHOOSE(MIN(85-MAX(Productos[Posición]),6),"","📲 Pedidos: "&amp;Fono,"🕒 "&amp;Horario,"🚚 "&amp;Entrega,"💳 "&amp;Pagos,""))</f>
        <v/>
      </c>
    </row>
    <row r="93" spans="2:2" ht="15.75" x14ac:dyDescent="0.25">
      <c r="B93" s="17" t="str">
        <f ca="1">IF(86&lt;=MAX(Productos[Posición]),IFERROR(INDEX(Productos[Línea],MATCH(86,Productos[Posición],0)),IFERROR(IF(INDEX(Productos[Nuevo grupo],MATCH(87,Productos[Posición],0))=1,INDEX(Productos[Encabezado],MATCH(87,Productos[Posición],0)),""),"")),CHOOSE(MIN(86-MAX(Productos[Posición]),6),"","📲 Pedidos: "&amp;Fono,"🕒 "&amp;Horario,"🚚 "&amp;Entrega,"💳 "&amp;Pagos,""))</f>
        <v/>
      </c>
    </row>
    <row r="94" spans="2:2" ht="15.75" x14ac:dyDescent="0.25">
      <c r="B94" s="17" t="str">
        <f ca="1">IF(87&lt;=MAX(Productos[Posición]),IFERROR(INDEX(Productos[Línea],MATCH(87,Productos[Posición],0)),IFERROR(IF(INDEX(Productos[Nuevo grupo],MATCH(88,Productos[Posición],0))=1,INDEX(Productos[Encabezado],MATCH(88,Productos[Posición],0)),""),"")),CHOOSE(MIN(87-MAX(Productos[Posición]),6),"","📲 Pedidos: "&amp;Fono,"🕒 "&amp;Horario,"🚚 "&amp;Entrega,"💳 "&amp;Pagos,""))</f>
        <v/>
      </c>
    </row>
    <row r="95" spans="2:2" ht="15.75" x14ac:dyDescent="0.25">
      <c r="B95" s="17" t="str">
        <f ca="1">IF(88&lt;=MAX(Productos[Posición]),IFERROR(INDEX(Productos[Línea],MATCH(88,Productos[Posición],0)),IFERROR(IF(INDEX(Productos[Nuevo grupo],MATCH(89,Productos[Posición],0))=1,INDEX(Productos[Encabezado],MATCH(89,Productos[Posición],0)),""),"")),CHOOSE(MIN(88-MAX(Productos[Posición]),6),"","📲 Pedidos: "&amp;Fono,"🕒 "&amp;Horario,"🚚 "&amp;Entrega,"💳 "&amp;Pagos,""))</f>
        <v/>
      </c>
    </row>
    <row r="96" spans="2:2" ht="15.75" x14ac:dyDescent="0.25">
      <c r="B96" s="17" t="str">
        <f ca="1">IF(89&lt;=MAX(Productos[Posición]),IFERROR(INDEX(Productos[Línea],MATCH(89,Productos[Posición],0)),IFERROR(IF(INDEX(Productos[Nuevo grupo],MATCH(90,Productos[Posición],0))=1,INDEX(Productos[Encabezado],MATCH(90,Productos[Posición],0)),""),"")),CHOOSE(MIN(89-MAX(Productos[Posición]),6),"","📲 Pedidos: "&amp;Fono,"🕒 "&amp;Horario,"🚚 "&amp;Entrega,"💳 "&amp;Pagos,""))</f>
        <v/>
      </c>
    </row>
    <row r="97" spans="2:2" ht="15.75" x14ac:dyDescent="0.25">
      <c r="B97" s="17" t="str">
        <f ca="1">IF(90&lt;=MAX(Productos[Posición]),IFERROR(INDEX(Productos[Línea],MATCH(90,Productos[Posición],0)),IFERROR(IF(INDEX(Productos[Nuevo grupo],MATCH(91,Productos[Posición],0))=1,INDEX(Productos[Encabezado],MATCH(91,Productos[Posición],0)),""),"")),CHOOSE(MIN(90-MAX(Productos[Posición]),6),"","📲 Pedidos: "&amp;Fono,"🕒 "&amp;Horario,"🚚 "&amp;Entrega,"💳 "&amp;Pagos,""))</f>
        <v/>
      </c>
    </row>
    <row r="98" spans="2:2" ht="15.75" x14ac:dyDescent="0.25">
      <c r="B98" s="17" t="str">
        <f ca="1">IF(91&lt;=MAX(Productos[Posición]),IFERROR(INDEX(Productos[Línea],MATCH(91,Productos[Posición],0)),IFERROR(IF(INDEX(Productos[Nuevo grupo],MATCH(92,Productos[Posición],0))=1,INDEX(Productos[Encabezado],MATCH(92,Productos[Posición],0)),""),"")),CHOOSE(MIN(91-MAX(Productos[Posición]),6),"","📲 Pedidos: "&amp;Fono,"🕒 "&amp;Horario,"🚚 "&amp;Entrega,"💳 "&amp;Pagos,""))</f>
        <v/>
      </c>
    </row>
    <row r="99" spans="2:2" ht="15.75" x14ac:dyDescent="0.25">
      <c r="B99" s="17" t="str">
        <f ca="1">IF(92&lt;=MAX(Productos[Posición]),IFERROR(INDEX(Productos[Línea],MATCH(92,Productos[Posición],0)),IFERROR(IF(INDEX(Productos[Nuevo grupo],MATCH(93,Productos[Posición],0))=1,INDEX(Productos[Encabezado],MATCH(93,Productos[Posición],0)),""),"")),CHOOSE(MIN(92-MAX(Productos[Posición]),6),"","📲 Pedidos: "&amp;Fono,"🕒 "&amp;Horario,"🚚 "&amp;Entrega,"💳 "&amp;Pagos,""))</f>
        <v/>
      </c>
    </row>
    <row r="100" spans="2:2" ht="15.75" x14ac:dyDescent="0.25">
      <c r="B100" s="17" t="str">
        <f ca="1">IF(93&lt;=MAX(Productos[Posición]),IFERROR(INDEX(Productos[Línea],MATCH(93,Productos[Posición],0)),IFERROR(IF(INDEX(Productos[Nuevo grupo],MATCH(94,Productos[Posición],0))=1,INDEX(Productos[Encabezado],MATCH(94,Productos[Posición],0)),""),"")),CHOOSE(MIN(93-MAX(Productos[Posición]),6),"","📲 Pedidos: "&amp;Fono,"🕒 "&amp;Horario,"🚚 "&amp;Entrega,"💳 "&amp;Pagos,""))</f>
        <v/>
      </c>
    </row>
    <row r="101" spans="2:2" ht="15.75" x14ac:dyDescent="0.25">
      <c r="B101" s="17" t="str">
        <f ca="1">IF(94&lt;=MAX(Productos[Posición]),IFERROR(INDEX(Productos[Línea],MATCH(94,Productos[Posición],0)),IFERROR(IF(INDEX(Productos[Nuevo grupo],MATCH(95,Productos[Posición],0))=1,INDEX(Productos[Encabezado],MATCH(95,Productos[Posición],0)),""),"")),CHOOSE(MIN(94-MAX(Productos[Posición]),6),"","📲 Pedidos: "&amp;Fono,"🕒 "&amp;Horario,"🚚 "&amp;Entrega,"💳 "&amp;Pagos,""))</f>
        <v/>
      </c>
    </row>
    <row r="102" spans="2:2" ht="15.75" x14ac:dyDescent="0.25">
      <c r="B102" s="17" t="str">
        <f ca="1">IF(95&lt;=MAX(Productos[Posición]),IFERROR(INDEX(Productos[Línea],MATCH(95,Productos[Posición],0)),IFERROR(IF(INDEX(Productos[Nuevo grupo],MATCH(96,Productos[Posición],0))=1,INDEX(Productos[Encabezado],MATCH(96,Productos[Posición],0)),""),"")),CHOOSE(MIN(95-MAX(Productos[Posición]),6),"","📲 Pedidos: "&amp;Fono,"🕒 "&amp;Horario,"🚚 "&amp;Entrega,"💳 "&amp;Pagos,""))</f>
        <v/>
      </c>
    </row>
    <row r="103" spans="2:2" ht="15.75" x14ac:dyDescent="0.25">
      <c r="B103" s="17" t="str">
        <f ca="1">IF(96&lt;=MAX(Productos[Posición]),IFERROR(INDEX(Productos[Línea],MATCH(96,Productos[Posición],0)),IFERROR(IF(INDEX(Productos[Nuevo grupo],MATCH(97,Productos[Posición],0))=1,INDEX(Productos[Encabezado],MATCH(97,Productos[Posición],0)),""),"")),CHOOSE(MIN(96-MAX(Productos[Posición]),6),"","📲 Pedidos: "&amp;Fono,"🕒 "&amp;Horario,"🚚 "&amp;Entrega,"💳 "&amp;Pagos,""))</f>
        <v/>
      </c>
    </row>
    <row r="104" spans="2:2" ht="15.75" x14ac:dyDescent="0.25">
      <c r="B104" s="17" t="str">
        <f ca="1">IF(97&lt;=MAX(Productos[Posición]),IFERROR(INDEX(Productos[Línea],MATCH(97,Productos[Posición],0)),IFERROR(IF(INDEX(Productos[Nuevo grupo],MATCH(98,Productos[Posición],0))=1,INDEX(Productos[Encabezado],MATCH(98,Productos[Posición],0)),""),"")),CHOOSE(MIN(97-MAX(Productos[Posición]),6),"","📲 Pedidos: "&amp;Fono,"🕒 "&amp;Horario,"🚚 "&amp;Entrega,"💳 "&amp;Pagos,""))</f>
        <v/>
      </c>
    </row>
    <row r="105" spans="2:2" ht="15.75" x14ac:dyDescent="0.25">
      <c r="B105" s="17" t="str">
        <f ca="1">IF(98&lt;=MAX(Productos[Posición]),IFERROR(INDEX(Productos[Línea],MATCH(98,Productos[Posición],0)),IFERROR(IF(INDEX(Productos[Nuevo grupo],MATCH(99,Productos[Posición],0))=1,INDEX(Productos[Encabezado],MATCH(99,Productos[Posición],0)),""),"")),CHOOSE(MIN(98-MAX(Productos[Posición]),6),"","📲 Pedidos: "&amp;Fono,"🕒 "&amp;Horario,"🚚 "&amp;Entrega,"💳 "&amp;Pagos,""))</f>
        <v/>
      </c>
    </row>
    <row r="106" spans="2:2" ht="15.75" x14ac:dyDescent="0.25">
      <c r="B106" s="17" t="str">
        <f ca="1">IF(99&lt;=MAX(Productos[Posición]),IFERROR(INDEX(Productos[Línea],MATCH(99,Productos[Posición],0)),IFERROR(IF(INDEX(Productos[Nuevo grupo],MATCH(100,Productos[Posición],0))=1,INDEX(Productos[Encabezado],MATCH(100,Productos[Posición],0)),""),"")),CHOOSE(MIN(99-MAX(Productos[Posición]),6),"","📲 Pedidos: "&amp;Fono,"🕒 "&amp;Horario,"🚚 "&amp;Entrega,"💳 "&amp;Pagos,""))</f>
        <v/>
      </c>
    </row>
    <row r="107" spans="2:2" ht="15.75" x14ac:dyDescent="0.25">
      <c r="B107" s="17" t="str">
        <f ca="1">IF(100&lt;=MAX(Productos[Posición]),IFERROR(INDEX(Productos[Línea],MATCH(100,Productos[Posición],0)),IFERROR(IF(INDEX(Productos[Nuevo grupo],MATCH(101,Productos[Posición],0))=1,INDEX(Productos[Encabezado],MATCH(101,Productos[Posición],0)),""),"")),CHOOSE(MIN(100-MAX(Productos[Posición]),6),"","📲 Pedidos: "&amp;Fono,"🕒 "&amp;Horario,"🚚 "&amp;Entrega,"💳 "&amp;Pagos,""))</f>
        <v/>
      </c>
    </row>
    <row r="108" spans="2:2" ht="15.75" x14ac:dyDescent="0.25">
      <c r="B108" s="17" t="str">
        <f ca="1">IF(101&lt;=MAX(Productos[Posición]),IFERROR(INDEX(Productos[Línea],MATCH(101,Productos[Posición],0)),IFERROR(IF(INDEX(Productos[Nuevo grupo],MATCH(102,Productos[Posición],0))=1,INDEX(Productos[Encabezado],MATCH(102,Productos[Posición],0)),""),"")),CHOOSE(MIN(101-MAX(Productos[Posición]),6),"","📲 Pedidos: "&amp;Fono,"🕒 "&amp;Horario,"🚚 "&amp;Entrega,"💳 "&amp;Pagos,""))</f>
        <v/>
      </c>
    </row>
    <row r="109" spans="2:2" ht="15.75" x14ac:dyDescent="0.25">
      <c r="B109" s="17" t="str">
        <f ca="1">IF(102&lt;=MAX(Productos[Posición]),IFERROR(INDEX(Productos[Línea],MATCH(102,Productos[Posición],0)),IFERROR(IF(INDEX(Productos[Nuevo grupo],MATCH(103,Productos[Posición],0))=1,INDEX(Productos[Encabezado],MATCH(103,Productos[Posición],0)),""),"")),CHOOSE(MIN(102-MAX(Productos[Posición]),6),"","📲 Pedidos: "&amp;Fono,"🕒 "&amp;Horario,"🚚 "&amp;Entrega,"💳 "&amp;Pagos,""))</f>
        <v/>
      </c>
    </row>
    <row r="110" spans="2:2" ht="15.75" x14ac:dyDescent="0.25">
      <c r="B110" s="17" t="str">
        <f ca="1">IF(103&lt;=MAX(Productos[Posición]),IFERROR(INDEX(Productos[Línea],MATCH(103,Productos[Posición],0)),IFERROR(IF(INDEX(Productos[Nuevo grupo],MATCH(104,Productos[Posición],0))=1,INDEX(Productos[Encabezado],MATCH(104,Productos[Posición],0)),""),"")),CHOOSE(MIN(103-MAX(Productos[Posición]),6),"","📲 Pedidos: "&amp;Fono,"🕒 "&amp;Horario,"🚚 "&amp;Entrega,"💳 "&amp;Pagos,""))</f>
        <v/>
      </c>
    </row>
    <row r="111" spans="2:2" ht="15.75" x14ac:dyDescent="0.25">
      <c r="B111" s="17" t="str">
        <f ca="1">IF(104&lt;=MAX(Productos[Posición]),IFERROR(INDEX(Productos[Línea],MATCH(104,Productos[Posición],0)),IFERROR(IF(INDEX(Productos[Nuevo grupo],MATCH(105,Productos[Posición],0))=1,INDEX(Productos[Encabezado],MATCH(105,Productos[Posición],0)),""),"")),CHOOSE(MIN(104-MAX(Productos[Posición]),6),"","📲 Pedidos: "&amp;Fono,"🕒 "&amp;Horario,"🚚 "&amp;Entrega,"💳 "&amp;Pagos,""))</f>
        <v/>
      </c>
    </row>
    <row r="112" spans="2:2" ht="15.75" x14ac:dyDescent="0.25">
      <c r="B112" s="17" t="str">
        <f ca="1">IF(105&lt;=MAX(Productos[Posición]),IFERROR(INDEX(Productos[Línea],MATCH(105,Productos[Posición],0)),IFERROR(IF(INDEX(Productos[Nuevo grupo],MATCH(106,Productos[Posición],0))=1,INDEX(Productos[Encabezado],MATCH(106,Productos[Posición],0)),""),"")),CHOOSE(MIN(105-MAX(Productos[Posición]),6),"","📲 Pedidos: "&amp;Fono,"🕒 "&amp;Horario,"🚚 "&amp;Entrega,"💳 "&amp;Pagos,""))</f>
        <v/>
      </c>
    </row>
    <row r="113" spans="2:2" ht="15.75" x14ac:dyDescent="0.25">
      <c r="B113" s="17" t="str">
        <f ca="1">IF(106&lt;=MAX(Productos[Posición]),IFERROR(INDEX(Productos[Línea],MATCH(106,Productos[Posición],0)),IFERROR(IF(INDEX(Productos[Nuevo grupo],MATCH(107,Productos[Posición],0))=1,INDEX(Productos[Encabezado],MATCH(107,Productos[Posición],0)),""),"")),CHOOSE(MIN(106-MAX(Productos[Posición]),6),"","📲 Pedidos: "&amp;Fono,"🕒 "&amp;Horario,"🚚 "&amp;Entrega,"💳 "&amp;Pagos,""))</f>
        <v/>
      </c>
    </row>
    <row r="114" spans="2:2" ht="15.75" x14ac:dyDescent="0.25">
      <c r="B114" s="17" t="str">
        <f ca="1">IF(107&lt;=MAX(Productos[Posición]),IFERROR(INDEX(Productos[Línea],MATCH(107,Productos[Posición],0)),IFERROR(IF(INDEX(Productos[Nuevo grupo],MATCH(108,Productos[Posición],0))=1,INDEX(Productos[Encabezado],MATCH(108,Productos[Posición],0)),""),"")),CHOOSE(MIN(107-MAX(Productos[Posición]),6),"","📲 Pedidos: "&amp;Fono,"🕒 "&amp;Horario,"🚚 "&amp;Entrega,"💳 "&amp;Pagos,""))</f>
        <v/>
      </c>
    </row>
    <row r="115" spans="2:2" ht="15.75" x14ac:dyDescent="0.25">
      <c r="B115" s="17" t="str">
        <f ca="1">IF(108&lt;=MAX(Productos[Posición]),IFERROR(INDEX(Productos[Línea],MATCH(108,Productos[Posición],0)),IFERROR(IF(INDEX(Productos[Nuevo grupo],MATCH(109,Productos[Posición],0))=1,INDEX(Productos[Encabezado],MATCH(109,Productos[Posición],0)),""),"")),CHOOSE(MIN(108-MAX(Productos[Posición]),6),"","📲 Pedidos: "&amp;Fono,"🕒 "&amp;Horario,"🚚 "&amp;Entrega,"💳 "&amp;Pagos,""))</f>
        <v/>
      </c>
    </row>
    <row r="116" spans="2:2" ht="15.75" x14ac:dyDescent="0.25">
      <c r="B116" s="17" t="str">
        <f ca="1">IF(109&lt;=MAX(Productos[Posición]),IFERROR(INDEX(Productos[Línea],MATCH(109,Productos[Posición],0)),IFERROR(IF(INDEX(Productos[Nuevo grupo],MATCH(110,Productos[Posición],0))=1,INDEX(Productos[Encabezado],MATCH(110,Productos[Posición],0)),""),"")),CHOOSE(MIN(109-MAX(Productos[Posición]),6),"","📲 Pedidos: "&amp;Fono,"🕒 "&amp;Horario,"🚚 "&amp;Entrega,"💳 "&amp;Pagos,""))</f>
        <v/>
      </c>
    </row>
    <row r="117" spans="2:2" ht="15.75" x14ac:dyDescent="0.25">
      <c r="B117" s="17" t="str">
        <f ca="1">IF(110&lt;=MAX(Productos[Posición]),IFERROR(INDEX(Productos[Línea],MATCH(110,Productos[Posición],0)),IFERROR(IF(INDEX(Productos[Nuevo grupo],MATCH(111,Productos[Posición],0))=1,INDEX(Productos[Encabezado],MATCH(111,Productos[Posición],0)),""),"")),CHOOSE(MIN(110-MAX(Productos[Posición]),6),"","📲 Pedidos: "&amp;Fono,"🕒 "&amp;Horario,"🚚 "&amp;Entrega,"💳 "&amp;Pagos,""))</f>
        <v/>
      </c>
    </row>
    <row r="118" spans="2:2" ht="15.75" x14ac:dyDescent="0.25">
      <c r="B118" s="17" t="str">
        <f ca="1">IF(111&lt;=MAX(Productos[Posición]),IFERROR(INDEX(Productos[Línea],MATCH(111,Productos[Posición],0)),IFERROR(IF(INDEX(Productos[Nuevo grupo],MATCH(112,Productos[Posición],0))=1,INDEX(Productos[Encabezado],MATCH(112,Productos[Posición],0)),""),"")),CHOOSE(MIN(111-MAX(Productos[Posición]),6),"","📲 Pedidos: "&amp;Fono,"🕒 "&amp;Horario,"🚚 "&amp;Entrega,"💳 "&amp;Pagos,""))</f>
        <v/>
      </c>
    </row>
    <row r="119" spans="2:2" ht="15.75" x14ac:dyDescent="0.25">
      <c r="B119" s="17" t="str">
        <f ca="1">IF(112&lt;=MAX(Productos[Posición]),IFERROR(INDEX(Productos[Línea],MATCH(112,Productos[Posición],0)),IFERROR(IF(INDEX(Productos[Nuevo grupo],MATCH(113,Productos[Posición],0))=1,INDEX(Productos[Encabezado],MATCH(113,Productos[Posición],0)),""),"")),CHOOSE(MIN(112-MAX(Productos[Posición]),6),"","📲 Pedidos: "&amp;Fono,"🕒 "&amp;Horario,"🚚 "&amp;Entrega,"💳 "&amp;Pagos,""))</f>
        <v/>
      </c>
    </row>
    <row r="120" spans="2:2" ht="15.75" x14ac:dyDescent="0.25">
      <c r="B120" s="17" t="str">
        <f ca="1">IF(113&lt;=MAX(Productos[Posición]),IFERROR(INDEX(Productos[Línea],MATCH(113,Productos[Posición],0)),IFERROR(IF(INDEX(Productos[Nuevo grupo],MATCH(114,Productos[Posición],0))=1,INDEX(Productos[Encabezado],MATCH(114,Productos[Posición],0)),""),"")),CHOOSE(MIN(113-MAX(Productos[Posición]),6),"","📲 Pedidos: "&amp;Fono,"🕒 "&amp;Horario,"🚚 "&amp;Entrega,"💳 "&amp;Pagos,""))</f>
        <v/>
      </c>
    </row>
    <row r="121" spans="2:2" ht="15.75" x14ac:dyDescent="0.25">
      <c r="B121" s="17" t="str">
        <f ca="1">IF(114&lt;=MAX(Productos[Posición]),IFERROR(INDEX(Productos[Línea],MATCH(114,Productos[Posición],0)),IFERROR(IF(INDEX(Productos[Nuevo grupo],MATCH(115,Productos[Posición],0))=1,INDEX(Productos[Encabezado],MATCH(115,Productos[Posición],0)),""),"")),CHOOSE(MIN(114-MAX(Productos[Posición]),6),"","📲 Pedidos: "&amp;Fono,"🕒 "&amp;Horario,"🚚 "&amp;Entrega,"💳 "&amp;Pagos,""))</f>
        <v/>
      </c>
    </row>
    <row r="122" spans="2:2" ht="15.75" x14ac:dyDescent="0.25">
      <c r="B122" s="17" t="str">
        <f ca="1">IF(115&lt;=MAX(Productos[Posición]),IFERROR(INDEX(Productos[Línea],MATCH(115,Productos[Posición],0)),IFERROR(IF(INDEX(Productos[Nuevo grupo],MATCH(116,Productos[Posición],0))=1,INDEX(Productos[Encabezado],MATCH(116,Productos[Posición],0)),""),"")),CHOOSE(MIN(115-MAX(Productos[Posición]),6),"","📲 Pedidos: "&amp;Fono,"🕒 "&amp;Horario,"🚚 "&amp;Entrega,"💳 "&amp;Pagos,""))</f>
        <v/>
      </c>
    </row>
    <row r="123" spans="2:2" ht="15.75" x14ac:dyDescent="0.25">
      <c r="B123" s="17" t="str">
        <f ca="1">IF(116&lt;=MAX(Productos[Posición]),IFERROR(INDEX(Productos[Línea],MATCH(116,Productos[Posición],0)),IFERROR(IF(INDEX(Productos[Nuevo grupo],MATCH(117,Productos[Posición],0))=1,INDEX(Productos[Encabezado],MATCH(117,Productos[Posición],0)),""),"")),CHOOSE(MIN(116-MAX(Productos[Posición]),6),"","📲 Pedidos: "&amp;Fono,"🕒 "&amp;Horario,"🚚 "&amp;Entrega,"💳 "&amp;Pagos,""))</f>
        <v/>
      </c>
    </row>
    <row r="124" spans="2:2" ht="15.75" x14ac:dyDescent="0.25">
      <c r="B124" s="17" t="str">
        <f ca="1">IF(117&lt;=MAX(Productos[Posición]),IFERROR(INDEX(Productos[Línea],MATCH(117,Productos[Posición],0)),IFERROR(IF(INDEX(Productos[Nuevo grupo],MATCH(118,Productos[Posición],0))=1,INDEX(Productos[Encabezado],MATCH(118,Productos[Posición],0)),""),"")),CHOOSE(MIN(117-MAX(Productos[Posición]),6),"","📲 Pedidos: "&amp;Fono,"🕒 "&amp;Horario,"🚚 "&amp;Entrega,"💳 "&amp;Pagos,""))</f>
        <v/>
      </c>
    </row>
    <row r="125" spans="2:2" ht="15.75" x14ac:dyDescent="0.25">
      <c r="B125" s="17" t="str">
        <f ca="1">IF(118&lt;=MAX(Productos[Posición]),IFERROR(INDEX(Productos[Línea],MATCH(118,Productos[Posición],0)),IFERROR(IF(INDEX(Productos[Nuevo grupo],MATCH(119,Productos[Posición],0))=1,INDEX(Productos[Encabezado],MATCH(119,Productos[Posición],0)),""),"")),CHOOSE(MIN(118-MAX(Productos[Posición]),6),"","📲 Pedidos: "&amp;Fono,"🕒 "&amp;Horario,"🚚 "&amp;Entrega,"💳 "&amp;Pagos,""))</f>
        <v/>
      </c>
    </row>
    <row r="126" spans="2:2" ht="15.75" x14ac:dyDescent="0.25">
      <c r="B126" s="17" t="str">
        <f ca="1">IF(119&lt;=MAX(Productos[Posición]),IFERROR(INDEX(Productos[Línea],MATCH(119,Productos[Posición],0)),IFERROR(IF(INDEX(Productos[Nuevo grupo],MATCH(120,Productos[Posición],0))=1,INDEX(Productos[Encabezado],MATCH(120,Productos[Posición],0)),""),"")),CHOOSE(MIN(119-MAX(Productos[Posición]),6),"","📲 Pedidos: "&amp;Fono,"🕒 "&amp;Horario,"🚚 "&amp;Entrega,"💳 "&amp;Pagos,""))</f>
        <v/>
      </c>
    </row>
    <row r="127" spans="2:2" ht="15.75" x14ac:dyDescent="0.25">
      <c r="B127" s="17" t="str">
        <f ca="1">IF(120&lt;=MAX(Productos[Posición]),IFERROR(INDEX(Productos[Línea],MATCH(120,Productos[Posición],0)),IFERROR(IF(INDEX(Productos[Nuevo grupo],MATCH(121,Productos[Posición],0))=1,INDEX(Productos[Encabezado],MATCH(121,Productos[Posición],0)),""),"")),CHOOSE(MIN(120-MAX(Productos[Posición]),6),"","📲 Pedidos: "&amp;Fono,"🕒 "&amp;Horario,"🚚 "&amp;Entrega,"💳 "&amp;Pagos,""))</f>
        <v/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AE6A1-9476-4045-908F-39A136032918}">
  <sheetPr>
    <tabColor rgb="FF1F6F8B"/>
    <pageSetUpPr fitToPage="1"/>
  </sheetPr>
  <dimension ref="B2:C67"/>
  <sheetViews>
    <sheetView showGridLines="0" workbookViewId="0"/>
  </sheetViews>
  <sheetFormatPr baseColWidth="10" defaultRowHeight="15" x14ac:dyDescent="0.25"/>
  <cols>
    <col min="1" max="1" width="3.7109375" style="1" customWidth="1"/>
    <col min="2" max="2" width="44.7109375" style="1" customWidth="1"/>
    <col min="3" max="3" width="16.7109375" style="1" customWidth="1"/>
    <col min="4" max="4" width="3.7109375" style="1" customWidth="1"/>
    <col min="5" max="16384" width="11.42578125" style="1"/>
  </cols>
  <sheetData>
    <row r="2" spans="2:3" ht="28.5" x14ac:dyDescent="0.45">
      <c r="B2" s="20" t="str">
        <f>Negocio</f>
        <v>Delicias de Carmen</v>
      </c>
    </row>
    <row r="3" spans="2:3" x14ac:dyDescent="0.25">
      <c r="B3" s="3" t="str">
        <f>"Lista de precios · Pedidos al "&amp;Fono</f>
        <v>Lista de precios · Pedidos al +56 9 1234 5678</v>
      </c>
    </row>
    <row r="5" spans="2:3" ht="21.95" customHeight="1" x14ac:dyDescent="0.25">
      <c r="B5" s="17" t="str">
        <f ca="1">IFERROR(INDEX(Productos[Emoji (opcional)],MATCH(1,Productos[Posición],0))&amp;" "&amp;INDEX(Productos[Producto],MATCH(1,Productos[Posición],0))&amp;IF(INDEX(Productos[Disponible],MATCH(1,Productos[Posición],0))="No"," (agotado)",""),IFERROR(IF(INDEX(Productos[Nuevo grupo],MATCH(1+1,Productos[Posición],0))=1,UPPER(INDEX(Productos[Categoría],MATCH(1+1,Productos[Posición],0))),""),""))</f>
        <v>TORTAS</v>
      </c>
      <c r="C5" s="21" t="str">
        <f ca="1">IFERROR(IF(N(INDEX(Productos[Precio de oferta (opcional)],MATCH(1,Productos[Posición],0)))&gt;0,INDEX(Productos[Precio de oferta (opcional)],MATCH(1,Productos[Posición],0)),INDEX(Productos[Precio],MATCH(1,Productos[Posición],0))),"")</f>
        <v/>
      </c>
    </row>
    <row r="6" spans="2:3" ht="21.95" customHeight="1" x14ac:dyDescent="0.25">
      <c r="B6" s="17" t="str">
        <f ca="1">IFERROR(INDEX(Productos[Emoji (opcional)],MATCH(2,Productos[Posición],0))&amp;" "&amp;INDEX(Productos[Producto],MATCH(2,Productos[Posición],0))&amp;IF(INDEX(Productos[Disponible],MATCH(2,Productos[Posición],0))="No"," (agotado)",""),IFERROR(IF(INDEX(Productos[Nuevo grupo],MATCH(2+1,Productos[Posición],0))=1,UPPER(INDEX(Productos[Categoría],MATCH(2+1,Productos[Posición],0))),""),""))</f>
        <v>🎂 Torta de chocolate (20 porciones)</v>
      </c>
      <c r="C6" s="21">
        <f ca="1">IFERROR(IF(N(INDEX(Productos[Precio de oferta (opcional)],MATCH(2,Productos[Posición],0)))&gt;0,INDEX(Productos[Precio de oferta (opcional)],MATCH(2,Productos[Posición],0)),INDEX(Productos[Precio],MATCH(2,Productos[Posición],0))),"")</f>
        <v>25000</v>
      </c>
    </row>
    <row r="7" spans="2:3" ht="21.95" customHeight="1" x14ac:dyDescent="0.25">
      <c r="B7" s="17" t="str">
        <f ca="1">IFERROR(INDEX(Productos[Emoji (opcional)],MATCH(3,Productos[Posición],0))&amp;" "&amp;INDEX(Productos[Producto],MATCH(3,Productos[Posición],0))&amp;IF(INDEX(Productos[Disponible],MATCH(3,Productos[Posición],0))="No"," (agotado)",""),IFERROR(IF(INDEX(Productos[Nuevo grupo],MATCH(3+1,Productos[Posición],0))=1,UPPER(INDEX(Productos[Categoría],MATCH(3+1,Productos[Posición],0))),""),""))</f>
        <v>🎂 Torta tres leches (15 porciones)</v>
      </c>
      <c r="C7" s="21">
        <f ca="1">IFERROR(IF(N(INDEX(Productos[Precio de oferta (opcional)],MATCH(3,Productos[Posición],0)))&gt;0,INDEX(Productos[Precio de oferta (opcional)],MATCH(3,Productos[Posición],0)),INDEX(Productos[Precio],MATCH(3,Productos[Posición],0))),"")</f>
        <v>24000</v>
      </c>
    </row>
    <row r="8" spans="2:3" ht="21.95" customHeight="1" x14ac:dyDescent="0.25">
      <c r="B8" s="17" t="str">
        <f ca="1">IFERROR(INDEX(Productos[Emoji (opcional)],MATCH(4,Productos[Posición],0))&amp;" "&amp;INDEX(Productos[Producto],MATCH(4,Productos[Posición],0))&amp;IF(INDEX(Productos[Disponible],MATCH(4,Productos[Posición],0))="No"," (agotado)",""),IFERROR(IF(INDEX(Productos[Nuevo grupo],MATCH(4+1,Productos[Posición],0))=1,UPPER(INDEX(Productos[Categoría],MATCH(4+1,Productos[Posición],0))),""),""))</f>
        <v>🎂 Torta de frutilla (15 porciones) (agotado)</v>
      </c>
      <c r="C8" s="21">
        <f ca="1">IFERROR(IF(N(INDEX(Productos[Precio de oferta (opcional)],MATCH(4,Productos[Posición],0)))&gt;0,INDEX(Productos[Precio de oferta (opcional)],MATCH(4,Productos[Posición],0)),INDEX(Productos[Precio],MATCH(4,Productos[Posición],0))),"")</f>
        <v>26000</v>
      </c>
    </row>
    <row r="9" spans="2:3" ht="21.95" customHeight="1" x14ac:dyDescent="0.25">
      <c r="B9" s="17" t="str">
        <f ca="1">IFERROR(INDEX(Productos[Emoji (opcional)],MATCH(5,Productos[Posición],0))&amp;" "&amp;INDEX(Productos[Producto],MATCH(5,Productos[Posición],0))&amp;IF(INDEX(Productos[Disponible],MATCH(5,Productos[Posición],0))="No"," (agotado)",""),IFERROR(IF(INDEX(Productos[Nuevo grupo],MATCH(5+1,Productos[Posición],0))=1,UPPER(INDEX(Productos[Categoría],MATCH(5+1,Productos[Posición],0))),""),""))</f>
        <v/>
      </c>
      <c r="C9" s="21" t="str">
        <f ca="1">IFERROR(IF(N(INDEX(Productos[Precio de oferta (opcional)],MATCH(5,Productos[Posición],0)))&gt;0,INDEX(Productos[Precio de oferta (opcional)],MATCH(5,Productos[Posición],0)),INDEX(Productos[Precio],MATCH(5,Productos[Posición],0))),"")</f>
        <v/>
      </c>
    </row>
    <row r="10" spans="2:3" ht="21.95" customHeight="1" x14ac:dyDescent="0.25">
      <c r="B10" s="17" t="str">
        <f ca="1">IFERROR(INDEX(Productos[Emoji (opcional)],MATCH(6,Productos[Posición],0))&amp;" "&amp;INDEX(Productos[Producto],MATCH(6,Productos[Posición],0))&amp;IF(INDEX(Productos[Disponible],MATCH(6,Productos[Posición],0))="No"," (agotado)",""),IFERROR(IF(INDEX(Productos[Nuevo grupo],MATCH(6+1,Productos[Posición],0))=1,UPPER(INDEX(Productos[Categoría],MATCH(6+1,Productos[Posición],0))),""),""))</f>
        <v>DULCES</v>
      </c>
      <c r="C10" s="21" t="str">
        <f ca="1">IFERROR(IF(N(INDEX(Productos[Precio de oferta (opcional)],MATCH(6,Productos[Posición],0)))&gt;0,INDEX(Productos[Precio de oferta (opcional)],MATCH(6,Productos[Posición],0)),INDEX(Productos[Precio],MATCH(6,Productos[Posición],0))),"")</f>
        <v/>
      </c>
    </row>
    <row r="11" spans="2:3" ht="21.95" customHeight="1" x14ac:dyDescent="0.25">
      <c r="B11" s="17" t="str">
        <f ca="1">IFERROR(INDEX(Productos[Emoji (opcional)],MATCH(7,Productos[Posición],0))&amp;" "&amp;INDEX(Productos[Producto],MATCH(7,Productos[Posición],0))&amp;IF(INDEX(Productos[Disponible],MATCH(7,Productos[Posición],0))="No"," (agotado)",""),IFERROR(IF(INDEX(Productos[Nuevo grupo],MATCH(7+1,Productos[Posición],0))=1,UPPER(INDEX(Productos[Categoría],MATCH(7+1,Productos[Posición],0))),""),""))</f>
        <v>🍪 Alfajores (caja de 12)</v>
      </c>
      <c r="C11" s="21">
        <f ca="1">IFERROR(IF(N(INDEX(Productos[Precio de oferta (opcional)],MATCH(7,Productos[Posición],0)))&gt;0,INDEX(Productos[Precio de oferta (opcional)],MATCH(7,Productos[Posición],0)),INDEX(Productos[Precio],MATCH(7,Productos[Posición],0))),"")</f>
        <v>7500</v>
      </c>
    </row>
    <row r="12" spans="2:3" ht="21.95" customHeight="1" x14ac:dyDescent="0.25">
      <c r="B12" s="17" t="str">
        <f ca="1">IFERROR(INDEX(Productos[Emoji (opcional)],MATCH(8,Productos[Posición],0))&amp;" "&amp;INDEX(Productos[Producto],MATCH(8,Productos[Posición],0))&amp;IF(INDEX(Productos[Disponible],MATCH(8,Productos[Posición],0))="No"," (agotado)",""),IFERROR(IF(INDEX(Productos[Nuevo grupo],MATCH(8+1,Productos[Posición],0))=1,UPPER(INDEX(Productos[Categoría],MATCH(8+1,Productos[Posición],0))),""),""))</f>
        <v>🍪 Galletas decoradas (6)</v>
      </c>
      <c r="C12" s="21">
        <f ca="1">IFERROR(IF(N(INDEX(Productos[Precio de oferta (opcional)],MATCH(8,Productos[Posición],0)))&gt;0,INDEX(Productos[Precio de oferta (opcional)],MATCH(8,Productos[Posición],0)),INDEX(Productos[Precio],MATCH(8,Productos[Posición],0))),"")</f>
        <v>5000</v>
      </c>
    </row>
    <row r="13" spans="2:3" ht="21.95" customHeight="1" x14ac:dyDescent="0.25">
      <c r="B13" s="17" t="str">
        <f ca="1">IFERROR(INDEX(Productos[Emoji (opcional)],MATCH(9,Productos[Posición],0))&amp;" "&amp;INDEX(Productos[Producto],MATCH(9,Productos[Posición],0))&amp;IF(INDEX(Productos[Disponible],MATCH(9,Productos[Posición],0))="No"," (agotado)",""),IFERROR(IF(INDEX(Productos[Nuevo grupo],MATCH(9+1,Productos[Posición],0))=1,UPPER(INDEX(Productos[Categoría],MATCH(9+1,Productos[Posición],0))),""),""))</f>
        <v>🧁 Cupcakes (6)</v>
      </c>
      <c r="C13" s="21">
        <f ca="1">IFERROR(IF(N(INDEX(Productos[Precio de oferta (opcional)],MATCH(9,Productos[Posición],0)))&gt;0,INDEX(Productos[Precio de oferta (opcional)],MATCH(9,Productos[Posición],0)),INDEX(Productos[Precio],MATCH(9,Productos[Posición],0))),"")</f>
        <v>8900</v>
      </c>
    </row>
    <row r="14" spans="2:3" ht="21.95" customHeight="1" x14ac:dyDescent="0.25">
      <c r="B14" s="17" t="str">
        <f ca="1">IFERROR(INDEX(Productos[Emoji (opcional)],MATCH(10,Productos[Posición],0))&amp;" "&amp;INDEX(Productos[Producto],MATCH(10,Productos[Posición],0))&amp;IF(INDEX(Productos[Disponible],MATCH(10,Productos[Posición],0))="No"," (agotado)",""),IFERROR(IF(INDEX(Productos[Nuevo grupo],MATCH(10+1,Productos[Posición],0))=1,UPPER(INDEX(Productos[Categoría],MATCH(10+1,Productos[Posición],0))),""),""))</f>
        <v/>
      </c>
      <c r="C14" s="21" t="str">
        <f ca="1">IFERROR(IF(N(INDEX(Productos[Precio de oferta (opcional)],MATCH(10,Productos[Posición],0)))&gt;0,INDEX(Productos[Precio de oferta (opcional)],MATCH(10,Productos[Posición],0)),INDEX(Productos[Precio],MATCH(10,Productos[Posición],0))),"")</f>
        <v/>
      </c>
    </row>
    <row r="15" spans="2:3" ht="21.95" customHeight="1" x14ac:dyDescent="0.25">
      <c r="B15" s="17" t="str">
        <f ca="1">IFERROR(INDEX(Productos[Emoji (opcional)],MATCH(11,Productos[Posición],0))&amp;" "&amp;INDEX(Productos[Producto],MATCH(11,Productos[Posición],0))&amp;IF(INDEX(Productos[Disponible],MATCH(11,Productos[Posición],0))="No"," (agotado)",""),IFERROR(IF(INDEX(Productos[Nuevo grupo],MATCH(11+1,Productos[Posición],0))=1,UPPER(INDEX(Productos[Categoría],MATCH(11+1,Productos[Posición],0))),""),""))</f>
        <v>SALADOS</v>
      </c>
      <c r="C15" s="21" t="str">
        <f ca="1">IFERROR(IF(N(INDEX(Productos[Precio de oferta (opcional)],MATCH(11,Productos[Posición],0)))&gt;0,INDEX(Productos[Precio de oferta (opcional)],MATCH(11,Productos[Posición],0)),INDEX(Productos[Precio],MATCH(11,Productos[Posición],0))),"")</f>
        <v/>
      </c>
    </row>
    <row r="16" spans="2:3" ht="21.95" customHeight="1" x14ac:dyDescent="0.25">
      <c r="B16" s="17" t="str">
        <f ca="1">IFERROR(INDEX(Productos[Emoji (opcional)],MATCH(12,Productos[Posición],0))&amp;" "&amp;INDEX(Productos[Producto],MATCH(12,Productos[Posición],0))&amp;IF(INDEX(Productos[Disponible],MATCH(12,Productos[Posición],0))="No"," (agotado)",""),IFERROR(IF(INDEX(Productos[Nuevo grupo],MATCH(12+1,Productos[Posición],0))=1,UPPER(INDEX(Productos[Categoría],MATCH(12+1,Productos[Posición],0))),""),""))</f>
        <v>🥟 Empanadas de queso (12)</v>
      </c>
      <c r="C16" s="21">
        <f ca="1">IFERROR(IF(N(INDEX(Productos[Precio de oferta (opcional)],MATCH(12,Productos[Posición],0)))&gt;0,INDEX(Productos[Precio de oferta (opcional)],MATCH(12,Productos[Posición],0)),INDEX(Productos[Precio],MATCH(12,Productos[Posición],0))),"")</f>
        <v>9600</v>
      </c>
    </row>
    <row r="17" spans="2:3" ht="21.95" customHeight="1" x14ac:dyDescent="0.25">
      <c r="B17" s="17" t="str">
        <f ca="1">IFERROR(INDEX(Productos[Emoji (opcional)],MATCH(13,Productos[Posición],0))&amp;" "&amp;INDEX(Productos[Producto],MATCH(13,Productos[Posición],0))&amp;IF(INDEX(Productos[Disponible],MATCH(13,Productos[Posición],0))="No"," (agotado)",""),IFERROR(IF(INDEX(Productos[Nuevo grupo],MATCH(13+1,Productos[Posición],0))=1,UPPER(INDEX(Productos[Categoría],MATCH(13+1,Productos[Posición],0))),""),""))</f>
        <v>🥪 Sándwiches para fiesta (24)</v>
      </c>
      <c r="C17" s="21">
        <f ca="1">IFERROR(IF(N(INDEX(Productos[Precio de oferta (opcional)],MATCH(13,Productos[Posición],0)))&gt;0,INDEX(Productos[Precio de oferta (opcional)],MATCH(13,Productos[Posición],0)),INDEX(Productos[Precio],MATCH(13,Productos[Posición],0))),"")</f>
        <v>14000</v>
      </c>
    </row>
    <row r="18" spans="2:3" ht="21.95" customHeight="1" x14ac:dyDescent="0.25">
      <c r="B18" s="17" t="str">
        <f ca="1">IFERROR(INDEX(Productos[Emoji (opcional)],MATCH(14,Productos[Posición],0))&amp;" "&amp;INDEX(Productos[Producto],MATCH(14,Productos[Posición],0))&amp;IF(INDEX(Productos[Disponible],MATCH(14,Productos[Posición],0))="No"," (agotado)",""),IFERROR(IF(INDEX(Productos[Nuevo grupo],MATCH(14+1,Productos[Posición],0))=1,UPPER(INDEX(Productos[Categoría],MATCH(14+1,Productos[Posición],0))),""),""))</f>
        <v/>
      </c>
      <c r="C18" s="21" t="str">
        <f ca="1">IFERROR(IF(N(INDEX(Productos[Precio de oferta (opcional)],MATCH(14,Productos[Posición],0)))&gt;0,INDEX(Productos[Precio de oferta (opcional)],MATCH(14,Productos[Posición],0)),INDEX(Productos[Precio],MATCH(14,Productos[Posición],0))),"")</f>
        <v/>
      </c>
    </row>
    <row r="19" spans="2:3" ht="21.95" customHeight="1" x14ac:dyDescent="0.25">
      <c r="B19" s="17" t="str">
        <f ca="1">IFERROR(INDEX(Productos[Emoji (opcional)],MATCH(15,Productos[Posición],0))&amp;" "&amp;INDEX(Productos[Producto],MATCH(15,Productos[Posición],0))&amp;IF(INDEX(Productos[Disponible],MATCH(15,Productos[Posición],0))="No"," (agotado)",""),IFERROR(IF(INDEX(Productos[Nuevo grupo],MATCH(15+1,Productos[Posición],0))=1,UPPER(INDEX(Productos[Categoría],MATCH(15+1,Productos[Posición],0))),""),""))</f>
        <v/>
      </c>
      <c r="C19" s="21" t="str">
        <f ca="1">IFERROR(IF(N(INDEX(Productos[Precio de oferta (opcional)],MATCH(15,Productos[Posición],0)))&gt;0,INDEX(Productos[Precio de oferta (opcional)],MATCH(15,Productos[Posición],0)),INDEX(Productos[Precio],MATCH(15,Productos[Posición],0))),"")</f>
        <v/>
      </c>
    </row>
    <row r="20" spans="2:3" ht="21.95" customHeight="1" x14ac:dyDescent="0.25">
      <c r="B20" s="17" t="str">
        <f ca="1">IFERROR(INDEX(Productos[Emoji (opcional)],MATCH(16,Productos[Posición],0))&amp;" "&amp;INDEX(Productos[Producto],MATCH(16,Productos[Posición],0))&amp;IF(INDEX(Productos[Disponible],MATCH(16,Productos[Posición],0))="No"," (agotado)",""),IFERROR(IF(INDEX(Productos[Nuevo grupo],MATCH(16+1,Productos[Posición],0))=1,UPPER(INDEX(Productos[Categoría],MATCH(16+1,Productos[Posición],0))),""),""))</f>
        <v/>
      </c>
      <c r="C20" s="21" t="str">
        <f ca="1">IFERROR(IF(N(INDEX(Productos[Precio de oferta (opcional)],MATCH(16,Productos[Posición],0)))&gt;0,INDEX(Productos[Precio de oferta (opcional)],MATCH(16,Productos[Posición],0)),INDEX(Productos[Precio],MATCH(16,Productos[Posición],0))),"")</f>
        <v/>
      </c>
    </row>
    <row r="21" spans="2:3" ht="21.95" customHeight="1" x14ac:dyDescent="0.25">
      <c r="B21" s="17" t="str">
        <f ca="1">IFERROR(INDEX(Productos[Emoji (opcional)],MATCH(17,Productos[Posición],0))&amp;" "&amp;INDEX(Productos[Producto],MATCH(17,Productos[Posición],0))&amp;IF(INDEX(Productos[Disponible],MATCH(17,Productos[Posición],0))="No"," (agotado)",""),IFERROR(IF(INDEX(Productos[Nuevo grupo],MATCH(17+1,Productos[Posición],0))=1,UPPER(INDEX(Productos[Categoría],MATCH(17+1,Productos[Posición],0))),""),""))</f>
        <v/>
      </c>
      <c r="C21" s="21" t="str">
        <f ca="1">IFERROR(IF(N(INDEX(Productos[Precio de oferta (opcional)],MATCH(17,Productos[Posición],0)))&gt;0,INDEX(Productos[Precio de oferta (opcional)],MATCH(17,Productos[Posición],0)),INDEX(Productos[Precio],MATCH(17,Productos[Posición],0))),"")</f>
        <v/>
      </c>
    </row>
    <row r="22" spans="2:3" ht="21.95" customHeight="1" x14ac:dyDescent="0.25">
      <c r="B22" s="17" t="str">
        <f ca="1">IFERROR(INDEX(Productos[Emoji (opcional)],MATCH(18,Productos[Posición],0))&amp;" "&amp;INDEX(Productos[Producto],MATCH(18,Productos[Posición],0))&amp;IF(INDEX(Productos[Disponible],MATCH(18,Productos[Posición],0))="No"," (agotado)",""),IFERROR(IF(INDEX(Productos[Nuevo grupo],MATCH(18+1,Productos[Posición],0))=1,UPPER(INDEX(Productos[Categoría],MATCH(18+1,Productos[Posición],0))),""),""))</f>
        <v/>
      </c>
      <c r="C22" s="21" t="str">
        <f ca="1">IFERROR(IF(N(INDEX(Productos[Precio de oferta (opcional)],MATCH(18,Productos[Posición],0)))&gt;0,INDEX(Productos[Precio de oferta (opcional)],MATCH(18,Productos[Posición],0)),INDEX(Productos[Precio],MATCH(18,Productos[Posición],0))),"")</f>
        <v/>
      </c>
    </row>
    <row r="23" spans="2:3" ht="21.95" customHeight="1" x14ac:dyDescent="0.25">
      <c r="B23" s="17" t="str">
        <f ca="1">IFERROR(INDEX(Productos[Emoji (opcional)],MATCH(19,Productos[Posición],0))&amp;" "&amp;INDEX(Productos[Producto],MATCH(19,Productos[Posición],0))&amp;IF(INDEX(Productos[Disponible],MATCH(19,Productos[Posición],0))="No"," (agotado)",""),IFERROR(IF(INDEX(Productos[Nuevo grupo],MATCH(19+1,Productos[Posición],0))=1,UPPER(INDEX(Productos[Categoría],MATCH(19+1,Productos[Posición],0))),""),""))</f>
        <v/>
      </c>
      <c r="C23" s="21" t="str">
        <f ca="1">IFERROR(IF(N(INDEX(Productos[Precio de oferta (opcional)],MATCH(19,Productos[Posición],0)))&gt;0,INDEX(Productos[Precio de oferta (opcional)],MATCH(19,Productos[Posición],0)),INDEX(Productos[Precio],MATCH(19,Productos[Posición],0))),"")</f>
        <v/>
      </c>
    </row>
    <row r="24" spans="2:3" ht="21.95" customHeight="1" x14ac:dyDescent="0.25">
      <c r="B24" s="17" t="str">
        <f ca="1">IFERROR(INDEX(Productos[Emoji (opcional)],MATCH(20,Productos[Posición],0))&amp;" "&amp;INDEX(Productos[Producto],MATCH(20,Productos[Posición],0))&amp;IF(INDEX(Productos[Disponible],MATCH(20,Productos[Posición],0))="No"," (agotado)",""),IFERROR(IF(INDEX(Productos[Nuevo grupo],MATCH(20+1,Productos[Posición],0))=1,UPPER(INDEX(Productos[Categoría],MATCH(20+1,Productos[Posición],0))),""),""))</f>
        <v/>
      </c>
      <c r="C24" s="21" t="str">
        <f ca="1">IFERROR(IF(N(INDEX(Productos[Precio de oferta (opcional)],MATCH(20,Productos[Posición],0)))&gt;0,INDEX(Productos[Precio de oferta (opcional)],MATCH(20,Productos[Posición],0)),INDEX(Productos[Precio],MATCH(20,Productos[Posición],0))),"")</f>
        <v/>
      </c>
    </row>
    <row r="25" spans="2:3" ht="21.95" customHeight="1" x14ac:dyDescent="0.25">
      <c r="B25" s="17" t="str">
        <f ca="1">IFERROR(INDEX(Productos[Emoji (opcional)],MATCH(21,Productos[Posición],0))&amp;" "&amp;INDEX(Productos[Producto],MATCH(21,Productos[Posición],0))&amp;IF(INDEX(Productos[Disponible],MATCH(21,Productos[Posición],0))="No"," (agotado)",""),IFERROR(IF(INDEX(Productos[Nuevo grupo],MATCH(21+1,Productos[Posición],0))=1,UPPER(INDEX(Productos[Categoría],MATCH(21+1,Productos[Posición],0))),""),""))</f>
        <v/>
      </c>
      <c r="C25" s="21" t="str">
        <f ca="1">IFERROR(IF(N(INDEX(Productos[Precio de oferta (opcional)],MATCH(21,Productos[Posición],0)))&gt;0,INDEX(Productos[Precio de oferta (opcional)],MATCH(21,Productos[Posición],0)),INDEX(Productos[Precio],MATCH(21,Productos[Posición],0))),"")</f>
        <v/>
      </c>
    </row>
    <row r="26" spans="2:3" ht="21.95" customHeight="1" x14ac:dyDescent="0.25">
      <c r="B26" s="17" t="str">
        <f ca="1">IFERROR(INDEX(Productos[Emoji (opcional)],MATCH(22,Productos[Posición],0))&amp;" "&amp;INDEX(Productos[Producto],MATCH(22,Productos[Posición],0))&amp;IF(INDEX(Productos[Disponible],MATCH(22,Productos[Posición],0))="No"," (agotado)",""),IFERROR(IF(INDEX(Productos[Nuevo grupo],MATCH(22+1,Productos[Posición],0))=1,UPPER(INDEX(Productos[Categoría],MATCH(22+1,Productos[Posición],0))),""),""))</f>
        <v/>
      </c>
      <c r="C26" s="21" t="str">
        <f ca="1">IFERROR(IF(N(INDEX(Productos[Precio de oferta (opcional)],MATCH(22,Productos[Posición],0)))&gt;0,INDEX(Productos[Precio de oferta (opcional)],MATCH(22,Productos[Posición],0)),INDEX(Productos[Precio],MATCH(22,Productos[Posición],0))),"")</f>
        <v/>
      </c>
    </row>
    <row r="27" spans="2:3" ht="21.95" customHeight="1" x14ac:dyDescent="0.25">
      <c r="B27" s="17" t="str">
        <f ca="1">IFERROR(INDEX(Productos[Emoji (opcional)],MATCH(23,Productos[Posición],0))&amp;" "&amp;INDEX(Productos[Producto],MATCH(23,Productos[Posición],0))&amp;IF(INDEX(Productos[Disponible],MATCH(23,Productos[Posición],0))="No"," (agotado)",""),IFERROR(IF(INDEX(Productos[Nuevo grupo],MATCH(23+1,Productos[Posición],0))=1,UPPER(INDEX(Productos[Categoría],MATCH(23+1,Productos[Posición],0))),""),""))</f>
        <v/>
      </c>
      <c r="C27" s="21" t="str">
        <f ca="1">IFERROR(IF(N(INDEX(Productos[Precio de oferta (opcional)],MATCH(23,Productos[Posición],0)))&gt;0,INDEX(Productos[Precio de oferta (opcional)],MATCH(23,Productos[Posición],0)),INDEX(Productos[Precio],MATCH(23,Productos[Posición],0))),"")</f>
        <v/>
      </c>
    </row>
    <row r="28" spans="2:3" ht="21.95" customHeight="1" x14ac:dyDescent="0.25">
      <c r="B28" s="17" t="str">
        <f ca="1">IFERROR(INDEX(Productos[Emoji (opcional)],MATCH(24,Productos[Posición],0))&amp;" "&amp;INDEX(Productos[Producto],MATCH(24,Productos[Posición],0))&amp;IF(INDEX(Productos[Disponible],MATCH(24,Productos[Posición],0))="No"," (agotado)",""),IFERROR(IF(INDEX(Productos[Nuevo grupo],MATCH(24+1,Productos[Posición],0))=1,UPPER(INDEX(Productos[Categoría],MATCH(24+1,Productos[Posición],0))),""),""))</f>
        <v/>
      </c>
      <c r="C28" s="21" t="str">
        <f ca="1">IFERROR(IF(N(INDEX(Productos[Precio de oferta (opcional)],MATCH(24,Productos[Posición],0)))&gt;0,INDEX(Productos[Precio de oferta (opcional)],MATCH(24,Productos[Posición],0)),INDEX(Productos[Precio],MATCH(24,Productos[Posición],0))),"")</f>
        <v/>
      </c>
    </row>
    <row r="29" spans="2:3" ht="21.95" customHeight="1" x14ac:dyDescent="0.25">
      <c r="B29" s="17" t="str">
        <f ca="1">IFERROR(INDEX(Productos[Emoji (opcional)],MATCH(25,Productos[Posición],0))&amp;" "&amp;INDEX(Productos[Producto],MATCH(25,Productos[Posición],0))&amp;IF(INDEX(Productos[Disponible],MATCH(25,Productos[Posición],0))="No"," (agotado)",""),IFERROR(IF(INDEX(Productos[Nuevo grupo],MATCH(25+1,Productos[Posición],0))=1,UPPER(INDEX(Productos[Categoría],MATCH(25+1,Productos[Posición],0))),""),""))</f>
        <v/>
      </c>
      <c r="C29" s="21" t="str">
        <f ca="1">IFERROR(IF(N(INDEX(Productos[Precio de oferta (opcional)],MATCH(25,Productos[Posición],0)))&gt;0,INDEX(Productos[Precio de oferta (opcional)],MATCH(25,Productos[Posición],0)),INDEX(Productos[Precio],MATCH(25,Productos[Posición],0))),"")</f>
        <v/>
      </c>
    </row>
    <row r="30" spans="2:3" ht="21.95" customHeight="1" x14ac:dyDescent="0.25">
      <c r="B30" s="17" t="str">
        <f ca="1">IFERROR(INDEX(Productos[Emoji (opcional)],MATCH(26,Productos[Posición],0))&amp;" "&amp;INDEX(Productos[Producto],MATCH(26,Productos[Posición],0))&amp;IF(INDEX(Productos[Disponible],MATCH(26,Productos[Posición],0))="No"," (agotado)",""),IFERROR(IF(INDEX(Productos[Nuevo grupo],MATCH(26+1,Productos[Posición],0))=1,UPPER(INDEX(Productos[Categoría],MATCH(26+1,Productos[Posición],0))),""),""))</f>
        <v/>
      </c>
      <c r="C30" s="21" t="str">
        <f ca="1">IFERROR(IF(N(INDEX(Productos[Precio de oferta (opcional)],MATCH(26,Productos[Posición],0)))&gt;0,INDEX(Productos[Precio de oferta (opcional)],MATCH(26,Productos[Posición],0)),INDEX(Productos[Precio],MATCH(26,Productos[Posición],0))),"")</f>
        <v/>
      </c>
    </row>
    <row r="31" spans="2:3" ht="21.95" customHeight="1" x14ac:dyDescent="0.25">
      <c r="B31" s="17" t="str">
        <f ca="1">IFERROR(INDEX(Productos[Emoji (opcional)],MATCH(27,Productos[Posición],0))&amp;" "&amp;INDEX(Productos[Producto],MATCH(27,Productos[Posición],0))&amp;IF(INDEX(Productos[Disponible],MATCH(27,Productos[Posición],0))="No"," (agotado)",""),IFERROR(IF(INDEX(Productos[Nuevo grupo],MATCH(27+1,Productos[Posición],0))=1,UPPER(INDEX(Productos[Categoría],MATCH(27+1,Productos[Posición],0))),""),""))</f>
        <v/>
      </c>
      <c r="C31" s="21" t="str">
        <f ca="1">IFERROR(IF(N(INDEX(Productos[Precio de oferta (opcional)],MATCH(27,Productos[Posición],0)))&gt;0,INDEX(Productos[Precio de oferta (opcional)],MATCH(27,Productos[Posición],0)),INDEX(Productos[Precio],MATCH(27,Productos[Posición],0))),"")</f>
        <v/>
      </c>
    </row>
    <row r="32" spans="2:3" ht="21.95" customHeight="1" x14ac:dyDescent="0.25">
      <c r="B32" s="17" t="str">
        <f ca="1">IFERROR(INDEX(Productos[Emoji (opcional)],MATCH(28,Productos[Posición],0))&amp;" "&amp;INDEX(Productos[Producto],MATCH(28,Productos[Posición],0))&amp;IF(INDEX(Productos[Disponible],MATCH(28,Productos[Posición],0))="No"," (agotado)",""),IFERROR(IF(INDEX(Productos[Nuevo grupo],MATCH(28+1,Productos[Posición],0))=1,UPPER(INDEX(Productos[Categoría],MATCH(28+1,Productos[Posición],0))),""),""))</f>
        <v/>
      </c>
      <c r="C32" s="21" t="str">
        <f ca="1">IFERROR(IF(N(INDEX(Productos[Precio de oferta (opcional)],MATCH(28,Productos[Posición],0)))&gt;0,INDEX(Productos[Precio de oferta (opcional)],MATCH(28,Productos[Posición],0)),INDEX(Productos[Precio],MATCH(28,Productos[Posición],0))),"")</f>
        <v/>
      </c>
    </row>
    <row r="33" spans="2:3" ht="21.95" customHeight="1" x14ac:dyDescent="0.25">
      <c r="B33" s="17" t="str">
        <f ca="1">IFERROR(INDEX(Productos[Emoji (opcional)],MATCH(29,Productos[Posición],0))&amp;" "&amp;INDEX(Productos[Producto],MATCH(29,Productos[Posición],0))&amp;IF(INDEX(Productos[Disponible],MATCH(29,Productos[Posición],0))="No"," (agotado)",""),IFERROR(IF(INDEX(Productos[Nuevo grupo],MATCH(29+1,Productos[Posición],0))=1,UPPER(INDEX(Productos[Categoría],MATCH(29+1,Productos[Posición],0))),""),""))</f>
        <v/>
      </c>
      <c r="C33" s="21" t="str">
        <f ca="1">IFERROR(IF(N(INDEX(Productos[Precio de oferta (opcional)],MATCH(29,Productos[Posición],0)))&gt;0,INDEX(Productos[Precio de oferta (opcional)],MATCH(29,Productos[Posición],0)),INDEX(Productos[Precio],MATCH(29,Productos[Posición],0))),"")</f>
        <v/>
      </c>
    </row>
    <row r="34" spans="2:3" ht="21.95" customHeight="1" x14ac:dyDescent="0.25">
      <c r="B34" s="17" t="str">
        <f ca="1">IFERROR(INDEX(Productos[Emoji (opcional)],MATCH(30,Productos[Posición],0))&amp;" "&amp;INDEX(Productos[Producto],MATCH(30,Productos[Posición],0))&amp;IF(INDEX(Productos[Disponible],MATCH(30,Productos[Posición],0))="No"," (agotado)",""),IFERROR(IF(INDEX(Productos[Nuevo grupo],MATCH(30+1,Productos[Posición],0))=1,UPPER(INDEX(Productos[Categoría],MATCH(30+1,Productos[Posición],0))),""),""))</f>
        <v/>
      </c>
      <c r="C34" s="21" t="str">
        <f ca="1">IFERROR(IF(N(INDEX(Productos[Precio de oferta (opcional)],MATCH(30,Productos[Posición],0)))&gt;0,INDEX(Productos[Precio de oferta (opcional)],MATCH(30,Productos[Posición],0)),INDEX(Productos[Precio],MATCH(30,Productos[Posición],0))),"")</f>
        <v/>
      </c>
    </row>
    <row r="35" spans="2:3" ht="21.95" customHeight="1" x14ac:dyDescent="0.25">
      <c r="B35" s="17" t="str">
        <f ca="1">IFERROR(INDEX(Productos[Emoji (opcional)],MATCH(31,Productos[Posición],0))&amp;" "&amp;INDEX(Productos[Producto],MATCH(31,Productos[Posición],0))&amp;IF(INDEX(Productos[Disponible],MATCH(31,Productos[Posición],0))="No"," (agotado)",""),IFERROR(IF(INDEX(Productos[Nuevo grupo],MATCH(31+1,Productos[Posición],0))=1,UPPER(INDEX(Productos[Categoría],MATCH(31+1,Productos[Posición],0))),""),""))</f>
        <v/>
      </c>
      <c r="C35" s="21" t="str">
        <f ca="1">IFERROR(IF(N(INDEX(Productos[Precio de oferta (opcional)],MATCH(31,Productos[Posición],0)))&gt;0,INDEX(Productos[Precio de oferta (opcional)],MATCH(31,Productos[Posición],0)),INDEX(Productos[Precio],MATCH(31,Productos[Posición],0))),"")</f>
        <v/>
      </c>
    </row>
    <row r="36" spans="2:3" ht="21.95" customHeight="1" x14ac:dyDescent="0.25">
      <c r="B36" s="17" t="str">
        <f ca="1">IFERROR(INDEX(Productos[Emoji (opcional)],MATCH(32,Productos[Posición],0))&amp;" "&amp;INDEX(Productos[Producto],MATCH(32,Productos[Posición],0))&amp;IF(INDEX(Productos[Disponible],MATCH(32,Productos[Posición],0))="No"," (agotado)",""),IFERROR(IF(INDEX(Productos[Nuevo grupo],MATCH(32+1,Productos[Posición],0))=1,UPPER(INDEX(Productos[Categoría],MATCH(32+1,Productos[Posición],0))),""),""))</f>
        <v/>
      </c>
      <c r="C36" s="21" t="str">
        <f ca="1">IFERROR(IF(N(INDEX(Productos[Precio de oferta (opcional)],MATCH(32,Productos[Posición],0)))&gt;0,INDEX(Productos[Precio de oferta (opcional)],MATCH(32,Productos[Posición],0)),INDEX(Productos[Precio],MATCH(32,Productos[Posición],0))),"")</f>
        <v/>
      </c>
    </row>
    <row r="37" spans="2:3" ht="21.95" customHeight="1" x14ac:dyDescent="0.25">
      <c r="B37" s="17" t="str">
        <f ca="1">IFERROR(INDEX(Productos[Emoji (opcional)],MATCH(33,Productos[Posición],0))&amp;" "&amp;INDEX(Productos[Producto],MATCH(33,Productos[Posición],0))&amp;IF(INDEX(Productos[Disponible],MATCH(33,Productos[Posición],0))="No"," (agotado)",""),IFERROR(IF(INDEX(Productos[Nuevo grupo],MATCH(33+1,Productos[Posición],0))=1,UPPER(INDEX(Productos[Categoría],MATCH(33+1,Productos[Posición],0))),""),""))</f>
        <v/>
      </c>
      <c r="C37" s="21" t="str">
        <f ca="1">IFERROR(IF(N(INDEX(Productos[Precio de oferta (opcional)],MATCH(33,Productos[Posición],0)))&gt;0,INDEX(Productos[Precio de oferta (opcional)],MATCH(33,Productos[Posición],0)),INDEX(Productos[Precio],MATCH(33,Productos[Posición],0))),"")</f>
        <v/>
      </c>
    </row>
    <row r="38" spans="2:3" ht="21.95" customHeight="1" x14ac:dyDescent="0.25">
      <c r="B38" s="17" t="str">
        <f ca="1">IFERROR(INDEX(Productos[Emoji (opcional)],MATCH(34,Productos[Posición],0))&amp;" "&amp;INDEX(Productos[Producto],MATCH(34,Productos[Posición],0))&amp;IF(INDEX(Productos[Disponible],MATCH(34,Productos[Posición],0))="No"," (agotado)",""),IFERROR(IF(INDEX(Productos[Nuevo grupo],MATCH(34+1,Productos[Posición],0))=1,UPPER(INDEX(Productos[Categoría],MATCH(34+1,Productos[Posición],0))),""),""))</f>
        <v/>
      </c>
      <c r="C38" s="21" t="str">
        <f ca="1">IFERROR(IF(N(INDEX(Productos[Precio de oferta (opcional)],MATCH(34,Productos[Posición],0)))&gt;0,INDEX(Productos[Precio de oferta (opcional)],MATCH(34,Productos[Posición],0)),INDEX(Productos[Precio],MATCH(34,Productos[Posición],0))),"")</f>
        <v/>
      </c>
    </row>
    <row r="39" spans="2:3" ht="21.95" customHeight="1" x14ac:dyDescent="0.25">
      <c r="B39" s="17" t="str">
        <f ca="1">IFERROR(INDEX(Productos[Emoji (opcional)],MATCH(35,Productos[Posición],0))&amp;" "&amp;INDEX(Productos[Producto],MATCH(35,Productos[Posición],0))&amp;IF(INDEX(Productos[Disponible],MATCH(35,Productos[Posición],0))="No"," (agotado)",""),IFERROR(IF(INDEX(Productos[Nuevo grupo],MATCH(35+1,Productos[Posición],0))=1,UPPER(INDEX(Productos[Categoría],MATCH(35+1,Productos[Posición],0))),""),""))</f>
        <v/>
      </c>
      <c r="C39" s="21" t="str">
        <f ca="1">IFERROR(IF(N(INDEX(Productos[Precio de oferta (opcional)],MATCH(35,Productos[Posición],0)))&gt;0,INDEX(Productos[Precio de oferta (opcional)],MATCH(35,Productos[Posición],0)),INDEX(Productos[Precio],MATCH(35,Productos[Posición],0))),"")</f>
        <v/>
      </c>
    </row>
    <row r="40" spans="2:3" ht="21.95" customHeight="1" x14ac:dyDescent="0.25">
      <c r="B40" s="17" t="str">
        <f ca="1">IFERROR(INDEX(Productos[Emoji (opcional)],MATCH(36,Productos[Posición],0))&amp;" "&amp;INDEX(Productos[Producto],MATCH(36,Productos[Posición],0))&amp;IF(INDEX(Productos[Disponible],MATCH(36,Productos[Posición],0))="No"," (agotado)",""),IFERROR(IF(INDEX(Productos[Nuevo grupo],MATCH(36+1,Productos[Posición],0))=1,UPPER(INDEX(Productos[Categoría],MATCH(36+1,Productos[Posición],0))),""),""))</f>
        <v/>
      </c>
      <c r="C40" s="21" t="str">
        <f ca="1">IFERROR(IF(N(INDEX(Productos[Precio de oferta (opcional)],MATCH(36,Productos[Posición],0)))&gt;0,INDEX(Productos[Precio de oferta (opcional)],MATCH(36,Productos[Posición],0)),INDEX(Productos[Precio],MATCH(36,Productos[Posición],0))),"")</f>
        <v/>
      </c>
    </row>
    <row r="41" spans="2:3" ht="21.95" customHeight="1" x14ac:dyDescent="0.25">
      <c r="B41" s="17" t="str">
        <f ca="1">IFERROR(INDEX(Productos[Emoji (opcional)],MATCH(37,Productos[Posición],0))&amp;" "&amp;INDEX(Productos[Producto],MATCH(37,Productos[Posición],0))&amp;IF(INDEX(Productos[Disponible],MATCH(37,Productos[Posición],0))="No"," (agotado)",""),IFERROR(IF(INDEX(Productos[Nuevo grupo],MATCH(37+1,Productos[Posición],0))=1,UPPER(INDEX(Productos[Categoría],MATCH(37+1,Productos[Posición],0))),""),""))</f>
        <v/>
      </c>
      <c r="C41" s="21" t="str">
        <f ca="1">IFERROR(IF(N(INDEX(Productos[Precio de oferta (opcional)],MATCH(37,Productos[Posición],0)))&gt;0,INDEX(Productos[Precio de oferta (opcional)],MATCH(37,Productos[Posición],0)),INDEX(Productos[Precio],MATCH(37,Productos[Posición],0))),"")</f>
        <v/>
      </c>
    </row>
    <row r="42" spans="2:3" ht="21.95" customHeight="1" x14ac:dyDescent="0.25">
      <c r="B42" s="17" t="str">
        <f ca="1">IFERROR(INDEX(Productos[Emoji (opcional)],MATCH(38,Productos[Posición],0))&amp;" "&amp;INDEX(Productos[Producto],MATCH(38,Productos[Posición],0))&amp;IF(INDEX(Productos[Disponible],MATCH(38,Productos[Posición],0))="No"," (agotado)",""),IFERROR(IF(INDEX(Productos[Nuevo grupo],MATCH(38+1,Productos[Posición],0))=1,UPPER(INDEX(Productos[Categoría],MATCH(38+1,Productos[Posición],0))),""),""))</f>
        <v/>
      </c>
      <c r="C42" s="21" t="str">
        <f ca="1">IFERROR(IF(N(INDEX(Productos[Precio de oferta (opcional)],MATCH(38,Productos[Posición],0)))&gt;0,INDEX(Productos[Precio de oferta (opcional)],MATCH(38,Productos[Posición],0)),INDEX(Productos[Precio],MATCH(38,Productos[Posición],0))),"")</f>
        <v/>
      </c>
    </row>
    <row r="43" spans="2:3" ht="21.95" customHeight="1" x14ac:dyDescent="0.25">
      <c r="B43" s="17" t="str">
        <f ca="1">IFERROR(INDEX(Productos[Emoji (opcional)],MATCH(39,Productos[Posición],0))&amp;" "&amp;INDEX(Productos[Producto],MATCH(39,Productos[Posición],0))&amp;IF(INDEX(Productos[Disponible],MATCH(39,Productos[Posición],0))="No"," (agotado)",""),IFERROR(IF(INDEX(Productos[Nuevo grupo],MATCH(39+1,Productos[Posición],0))=1,UPPER(INDEX(Productos[Categoría],MATCH(39+1,Productos[Posición],0))),""),""))</f>
        <v/>
      </c>
      <c r="C43" s="21" t="str">
        <f ca="1">IFERROR(IF(N(INDEX(Productos[Precio de oferta (opcional)],MATCH(39,Productos[Posición],0)))&gt;0,INDEX(Productos[Precio de oferta (opcional)],MATCH(39,Productos[Posición],0)),INDEX(Productos[Precio],MATCH(39,Productos[Posición],0))),"")</f>
        <v/>
      </c>
    </row>
    <row r="44" spans="2:3" ht="21.95" customHeight="1" x14ac:dyDescent="0.25">
      <c r="B44" s="17" t="str">
        <f ca="1">IFERROR(INDEX(Productos[Emoji (opcional)],MATCH(40,Productos[Posición],0))&amp;" "&amp;INDEX(Productos[Producto],MATCH(40,Productos[Posición],0))&amp;IF(INDEX(Productos[Disponible],MATCH(40,Productos[Posición],0))="No"," (agotado)",""),IFERROR(IF(INDEX(Productos[Nuevo grupo],MATCH(40+1,Productos[Posición],0))=1,UPPER(INDEX(Productos[Categoría],MATCH(40+1,Productos[Posición],0))),""),""))</f>
        <v/>
      </c>
      <c r="C44" s="21" t="str">
        <f ca="1">IFERROR(IF(N(INDEX(Productos[Precio de oferta (opcional)],MATCH(40,Productos[Posición],0)))&gt;0,INDEX(Productos[Precio de oferta (opcional)],MATCH(40,Productos[Posición],0)),INDEX(Productos[Precio],MATCH(40,Productos[Posición],0))),"")</f>
        <v/>
      </c>
    </row>
    <row r="45" spans="2:3" ht="21.95" customHeight="1" x14ac:dyDescent="0.25">
      <c r="B45" s="17" t="str">
        <f ca="1">IFERROR(INDEX(Productos[Emoji (opcional)],MATCH(41,Productos[Posición],0))&amp;" "&amp;INDEX(Productos[Producto],MATCH(41,Productos[Posición],0))&amp;IF(INDEX(Productos[Disponible],MATCH(41,Productos[Posición],0))="No"," (agotado)",""),IFERROR(IF(INDEX(Productos[Nuevo grupo],MATCH(41+1,Productos[Posición],0))=1,UPPER(INDEX(Productos[Categoría],MATCH(41+1,Productos[Posición],0))),""),""))</f>
        <v/>
      </c>
      <c r="C45" s="21" t="str">
        <f ca="1">IFERROR(IF(N(INDEX(Productos[Precio de oferta (opcional)],MATCH(41,Productos[Posición],0)))&gt;0,INDEX(Productos[Precio de oferta (opcional)],MATCH(41,Productos[Posición],0)),INDEX(Productos[Precio],MATCH(41,Productos[Posición],0))),"")</f>
        <v/>
      </c>
    </row>
    <row r="46" spans="2:3" ht="21.95" customHeight="1" x14ac:dyDescent="0.25">
      <c r="B46" s="17" t="str">
        <f ca="1">IFERROR(INDEX(Productos[Emoji (opcional)],MATCH(42,Productos[Posición],0))&amp;" "&amp;INDEX(Productos[Producto],MATCH(42,Productos[Posición],0))&amp;IF(INDEX(Productos[Disponible],MATCH(42,Productos[Posición],0))="No"," (agotado)",""),IFERROR(IF(INDEX(Productos[Nuevo grupo],MATCH(42+1,Productos[Posición],0))=1,UPPER(INDEX(Productos[Categoría],MATCH(42+1,Productos[Posición],0))),""),""))</f>
        <v/>
      </c>
      <c r="C46" s="21" t="str">
        <f ca="1">IFERROR(IF(N(INDEX(Productos[Precio de oferta (opcional)],MATCH(42,Productos[Posición],0)))&gt;0,INDEX(Productos[Precio de oferta (opcional)],MATCH(42,Productos[Posición],0)),INDEX(Productos[Precio],MATCH(42,Productos[Posición],0))),"")</f>
        <v/>
      </c>
    </row>
    <row r="47" spans="2:3" ht="21.95" customHeight="1" x14ac:dyDescent="0.25">
      <c r="B47" s="17" t="str">
        <f ca="1">IFERROR(INDEX(Productos[Emoji (opcional)],MATCH(43,Productos[Posición],0))&amp;" "&amp;INDEX(Productos[Producto],MATCH(43,Productos[Posición],0))&amp;IF(INDEX(Productos[Disponible],MATCH(43,Productos[Posición],0))="No"," (agotado)",""),IFERROR(IF(INDEX(Productos[Nuevo grupo],MATCH(43+1,Productos[Posición],0))=1,UPPER(INDEX(Productos[Categoría],MATCH(43+1,Productos[Posición],0))),""),""))</f>
        <v/>
      </c>
      <c r="C47" s="21" t="str">
        <f ca="1">IFERROR(IF(N(INDEX(Productos[Precio de oferta (opcional)],MATCH(43,Productos[Posición],0)))&gt;0,INDEX(Productos[Precio de oferta (opcional)],MATCH(43,Productos[Posición],0)),INDEX(Productos[Precio],MATCH(43,Productos[Posición],0))),"")</f>
        <v/>
      </c>
    </row>
    <row r="48" spans="2:3" ht="21.95" customHeight="1" x14ac:dyDescent="0.25">
      <c r="B48" s="17" t="str">
        <f ca="1">IFERROR(INDEX(Productos[Emoji (opcional)],MATCH(44,Productos[Posición],0))&amp;" "&amp;INDEX(Productos[Producto],MATCH(44,Productos[Posición],0))&amp;IF(INDEX(Productos[Disponible],MATCH(44,Productos[Posición],0))="No"," (agotado)",""),IFERROR(IF(INDEX(Productos[Nuevo grupo],MATCH(44+1,Productos[Posición],0))=1,UPPER(INDEX(Productos[Categoría],MATCH(44+1,Productos[Posición],0))),""),""))</f>
        <v/>
      </c>
      <c r="C48" s="21" t="str">
        <f ca="1">IFERROR(IF(N(INDEX(Productos[Precio de oferta (opcional)],MATCH(44,Productos[Posición],0)))&gt;0,INDEX(Productos[Precio de oferta (opcional)],MATCH(44,Productos[Posición],0)),INDEX(Productos[Precio],MATCH(44,Productos[Posición],0))),"")</f>
        <v/>
      </c>
    </row>
    <row r="49" spans="2:3" ht="21.95" customHeight="1" x14ac:dyDescent="0.25">
      <c r="B49" s="17" t="str">
        <f ca="1">IFERROR(INDEX(Productos[Emoji (opcional)],MATCH(45,Productos[Posición],0))&amp;" "&amp;INDEX(Productos[Producto],MATCH(45,Productos[Posición],0))&amp;IF(INDEX(Productos[Disponible],MATCH(45,Productos[Posición],0))="No"," (agotado)",""),IFERROR(IF(INDEX(Productos[Nuevo grupo],MATCH(45+1,Productos[Posición],0))=1,UPPER(INDEX(Productos[Categoría],MATCH(45+1,Productos[Posición],0))),""),""))</f>
        <v/>
      </c>
      <c r="C49" s="21" t="str">
        <f ca="1">IFERROR(IF(N(INDEX(Productos[Precio de oferta (opcional)],MATCH(45,Productos[Posición],0)))&gt;0,INDEX(Productos[Precio de oferta (opcional)],MATCH(45,Productos[Posición],0)),INDEX(Productos[Precio],MATCH(45,Productos[Posición],0))),"")</f>
        <v/>
      </c>
    </row>
    <row r="50" spans="2:3" ht="21.95" customHeight="1" x14ac:dyDescent="0.25">
      <c r="B50" s="17" t="str">
        <f ca="1">IFERROR(INDEX(Productos[Emoji (opcional)],MATCH(46,Productos[Posición],0))&amp;" "&amp;INDEX(Productos[Producto],MATCH(46,Productos[Posición],0))&amp;IF(INDEX(Productos[Disponible],MATCH(46,Productos[Posición],0))="No"," (agotado)",""),IFERROR(IF(INDEX(Productos[Nuevo grupo],MATCH(46+1,Productos[Posición],0))=1,UPPER(INDEX(Productos[Categoría],MATCH(46+1,Productos[Posición],0))),""),""))</f>
        <v/>
      </c>
      <c r="C50" s="21" t="str">
        <f ca="1">IFERROR(IF(N(INDEX(Productos[Precio de oferta (opcional)],MATCH(46,Productos[Posición],0)))&gt;0,INDEX(Productos[Precio de oferta (opcional)],MATCH(46,Productos[Posición],0)),INDEX(Productos[Precio],MATCH(46,Productos[Posición],0))),"")</f>
        <v/>
      </c>
    </row>
    <row r="51" spans="2:3" ht="21.95" customHeight="1" x14ac:dyDescent="0.25">
      <c r="B51" s="17" t="str">
        <f ca="1">IFERROR(INDEX(Productos[Emoji (opcional)],MATCH(47,Productos[Posición],0))&amp;" "&amp;INDEX(Productos[Producto],MATCH(47,Productos[Posición],0))&amp;IF(INDEX(Productos[Disponible],MATCH(47,Productos[Posición],0))="No"," (agotado)",""),IFERROR(IF(INDEX(Productos[Nuevo grupo],MATCH(47+1,Productos[Posición],0))=1,UPPER(INDEX(Productos[Categoría],MATCH(47+1,Productos[Posición],0))),""),""))</f>
        <v/>
      </c>
      <c r="C51" s="21" t="str">
        <f ca="1">IFERROR(IF(N(INDEX(Productos[Precio de oferta (opcional)],MATCH(47,Productos[Posición],0)))&gt;0,INDEX(Productos[Precio de oferta (opcional)],MATCH(47,Productos[Posición],0)),INDEX(Productos[Precio],MATCH(47,Productos[Posición],0))),"")</f>
        <v/>
      </c>
    </row>
    <row r="52" spans="2:3" ht="21.95" customHeight="1" x14ac:dyDescent="0.25">
      <c r="B52" s="17" t="str">
        <f ca="1">IFERROR(INDEX(Productos[Emoji (opcional)],MATCH(48,Productos[Posición],0))&amp;" "&amp;INDEX(Productos[Producto],MATCH(48,Productos[Posición],0))&amp;IF(INDEX(Productos[Disponible],MATCH(48,Productos[Posición],0))="No"," (agotado)",""),IFERROR(IF(INDEX(Productos[Nuevo grupo],MATCH(48+1,Productos[Posición],0))=1,UPPER(INDEX(Productos[Categoría],MATCH(48+1,Productos[Posición],0))),""),""))</f>
        <v/>
      </c>
      <c r="C52" s="21" t="str">
        <f ca="1">IFERROR(IF(N(INDEX(Productos[Precio de oferta (opcional)],MATCH(48,Productos[Posición],0)))&gt;0,INDEX(Productos[Precio de oferta (opcional)],MATCH(48,Productos[Posición],0)),INDEX(Productos[Precio],MATCH(48,Productos[Posición],0))),"")</f>
        <v/>
      </c>
    </row>
    <row r="53" spans="2:3" ht="21.95" customHeight="1" x14ac:dyDescent="0.25">
      <c r="B53" s="17" t="str">
        <f ca="1">IFERROR(INDEX(Productos[Emoji (opcional)],MATCH(49,Productos[Posición],0))&amp;" "&amp;INDEX(Productos[Producto],MATCH(49,Productos[Posición],0))&amp;IF(INDEX(Productos[Disponible],MATCH(49,Productos[Posición],0))="No"," (agotado)",""),IFERROR(IF(INDEX(Productos[Nuevo grupo],MATCH(49+1,Productos[Posición],0))=1,UPPER(INDEX(Productos[Categoría],MATCH(49+1,Productos[Posición],0))),""),""))</f>
        <v/>
      </c>
      <c r="C53" s="21" t="str">
        <f ca="1">IFERROR(IF(N(INDEX(Productos[Precio de oferta (opcional)],MATCH(49,Productos[Posición],0)))&gt;0,INDEX(Productos[Precio de oferta (opcional)],MATCH(49,Productos[Posición],0)),INDEX(Productos[Precio],MATCH(49,Productos[Posición],0))),"")</f>
        <v/>
      </c>
    </row>
    <row r="54" spans="2:3" ht="21.95" customHeight="1" x14ac:dyDescent="0.25">
      <c r="B54" s="17" t="str">
        <f ca="1">IFERROR(INDEX(Productos[Emoji (opcional)],MATCH(50,Productos[Posición],0))&amp;" "&amp;INDEX(Productos[Producto],MATCH(50,Productos[Posición],0))&amp;IF(INDEX(Productos[Disponible],MATCH(50,Productos[Posición],0))="No"," (agotado)",""),IFERROR(IF(INDEX(Productos[Nuevo grupo],MATCH(50+1,Productos[Posición],0))=1,UPPER(INDEX(Productos[Categoría],MATCH(50+1,Productos[Posición],0))),""),""))</f>
        <v/>
      </c>
      <c r="C54" s="21" t="str">
        <f ca="1">IFERROR(IF(N(INDEX(Productos[Precio de oferta (opcional)],MATCH(50,Productos[Posición],0)))&gt;0,INDEX(Productos[Precio de oferta (opcional)],MATCH(50,Productos[Posición],0)),INDEX(Productos[Precio],MATCH(50,Productos[Posición],0))),"")</f>
        <v/>
      </c>
    </row>
    <row r="55" spans="2:3" ht="21.95" customHeight="1" x14ac:dyDescent="0.25">
      <c r="B55" s="17" t="str">
        <f ca="1">IFERROR(INDEX(Productos[Emoji (opcional)],MATCH(51,Productos[Posición],0))&amp;" "&amp;INDEX(Productos[Producto],MATCH(51,Productos[Posición],0))&amp;IF(INDEX(Productos[Disponible],MATCH(51,Productos[Posición],0))="No"," (agotado)",""),IFERROR(IF(INDEX(Productos[Nuevo grupo],MATCH(51+1,Productos[Posición],0))=1,UPPER(INDEX(Productos[Categoría],MATCH(51+1,Productos[Posición],0))),""),""))</f>
        <v/>
      </c>
      <c r="C55" s="21" t="str">
        <f ca="1">IFERROR(IF(N(INDEX(Productos[Precio de oferta (opcional)],MATCH(51,Productos[Posición],0)))&gt;0,INDEX(Productos[Precio de oferta (opcional)],MATCH(51,Productos[Posición],0)),INDEX(Productos[Precio],MATCH(51,Productos[Posición],0))),"")</f>
        <v/>
      </c>
    </row>
    <row r="56" spans="2:3" ht="21.95" customHeight="1" x14ac:dyDescent="0.25">
      <c r="B56" s="17" t="str">
        <f ca="1">IFERROR(INDEX(Productos[Emoji (opcional)],MATCH(52,Productos[Posición],0))&amp;" "&amp;INDEX(Productos[Producto],MATCH(52,Productos[Posición],0))&amp;IF(INDEX(Productos[Disponible],MATCH(52,Productos[Posición],0))="No"," (agotado)",""),IFERROR(IF(INDEX(Productos[Nuevo grupo],MATCH(52+1,Productos[Posición],0))=1,UPPER(INDEX(Productos[Categoría],MATCH(52+1,Productos[Posición],0))),""),""))</f>
        <v/>
      </c>
      <c r="C56" s="21" t="str">
        <f ca="1">IFERROR(IF(N(INDEX(Productos[Precio de oferta (opcional)],MATCH(52,Productos[Posición],0)))&gt;0,INDEX(Productos[Precio de oferta (opcional)],MATCH(52,Productos[Posición],0)),INDEX(Productos[Precio],MATCH(52,Productos[Posición],0))),"")</f>
        <v/>
      </c>
    </row>
    <row r="57" spans="2:3" ht="21.95" customHeight="1" x14ac:dyDescent="0.25">
      <c r="B57" s="17" t="str">
        <f ca="1">IFERROR(INDEX(Productos[Emoji (opcional)],MATCH(53,Productos[Posición],0))&amp;" "&amp;INDEX(Productos[Producto],MATCH(53,Productos[Posición],0))&amp;IF(INDEX(Productos[Disponible],MATCH(53,Productos[Posición],0))="No"," (agotado)",""),IFERROR(IF(INDEX(Productos[Nuevo grupo],MATCH(53+1,Productos[Posición],0))=1,UPPER(INDEX(Productos[Categoría],MATCH(53+1,Productos[Posición],0))),""),""))</f>
        <v/>
      </c>
      <c r="C57" s="21" t="str">
        <f ca="1">IFERROR(IF(N(INDEX(Productos[Precio de oferta (opcional)],MATCH(53,Productos[Posición],0)))&gt;0,INDEX(Productos[Precio de oferta (opcional)],MATCH(53,Productos[Posición],0)),INDEX(Productos[Precio],MATCH(53,Productos[Posición],0))),"")</f>
        <v/>
      </c>
    </row>
    <row r="58" spans="2:3" ht="21.95" customHeight="1" x14ac:dyDescent="0.25">
      <c r="B58" s="17" t="str">
        <f ca="1">IFERROR(INDEX(Productos[Emoji (opcional)],MATCH(54,Productos[Posición],0))&amp;" "&amp;INDEX(Productos[Producto],MATCH(54,Productos[Posición],0))&amp;IF(INDEX(Productos[Disponible],MATCH(54,Productos[Posición],0))="No"," (agotado)",""),IFERROR(IF(INDEX(Productos[Nuevo grupo],MATCH(54+1,Productos[Posición],0))=1,UPPER(INDEX(Productos[Categoría],MATCH(54+1,Productos[Posición],0))),""),""))</f>
        <v/>
      </c>
      <c r="C58" s="21" t="str">
        <f ca="1">IFERROR(IF(N(INDEX(Productos[Precio de oferta (opcional)],MATCH(54,Productos[Posición],0)))&gt;0,INDEX(Productos[Precio de oferta (opcional)],MATCH(54,Productos[Posición],0)),INDEX(Productos[Precio],MATCH(54,Productos[Posición],0))),"")</f>
        <v/>
      </c>
    </row>
    <row r="59" spans="2:3" ht="21.95" customHeight="1" x14ac:dyDescent="0.25">
      <c r="B59" s="17" t="str">
        <f ca="1">IFERROR(INDEX(Productos[Emoji (opcional)],MATCH(55,Productos[Posición],0))&amp;" "&amp;INDEX(Productos[Producto],MATCH(55,Productos[Posición],0))&amp;IF(INDEX(Productos[Disponible],MATCH(55,Productos[Posición],0))="No"," (agotado)",""),IFERROR(IF(INDEX(Productos[Nuevo grupo],MATCH(55+1,Productos[Posición],0))=1,UPPER(INDEX(Productos[Categoría],MATCH(55+1,Productos[Posición],0))),""),""))</f>
        <v/>
      </c>
      <c r="C59" s="21" t="str">
        <f ca="1">IFERROR(IF(N(INDEX(Productos[Precio de oferta (opcional)],MATCH(55,Productos[Posición],0)))&gt;0,INDEX(Productos[Precio de oferta (opcional)],MATCH(55,Productos[Posición],0)),INDEX(Productos[Precio],MATCH(55,Productos[Posición],0))),"")</f>
        <v/>
      </c>
    </row>
    <row r="60" spans="2:3" ht="21.95" customHeight="1" x14ac:dyDescent="0.25">
      <c r="B60" s="17" t="str">
        <f ca="1">IFERROR(INDEX(Productos[Emoji (opcional)],MATCH(56,Productos[Posición],0))&amp;" "&amp;INDEX(Productos[Producto],MATCH(56,Productos[Posición],0))&amp;IF(INDEX(Productos[Disponible],MATCH(56,Productos[Posición],0))="No"," (agotado)",""),IFERROR(IF(INDEX(Productos[Nuevo grupo],MATCH(56+1,Productos[Posición],0))=1,UPPER(INDEX(Productos[Categoría],MATCH(56+1,Productos[Posición],0))),""),""))</f>
        <v/>
      </c>
      <c r="C60" s="21" t="str">
        <f ca="1">IFERROR(IF(N(INDEX(Productos[Precio de oferta (opcional)],MATCH(56,Productos[Posición],0)))&gt;0,INDEX(Productos[Precio de oferta (opcional)],MATCH(56,Productos[Posición],0)),INDEX(Productos[Precio],MATCH(56,Productos[Posición],0))),"")</f>
        <v/>
      </c>
    </row>
    <row r="61" spans="2:3" ht="21.95" customHeight="1" x14ac:dyDescent="0.25">
      <c r="B61" s="17" t="str">
        <f ca="1">IFERROR(INDEX(Productos[Emoji (opcional)],MATCH(57,Productos[Posición],0))&amp;" "&amp;INDEX(Productos[Producto],MATCH(57,Productos[Posición],0))&amp;IF(INDEX(Productos[Disponible],MATCH(57,Productos[Posición],0))="No"," (agotado)",""),IFERROR(IF(INDEX(Productos[Nuevo grupo],MATCH(57+1,Productos[Posición],0))=1,UPPER(INDEX(Productos[Categoría],MATCH(57+1,Productos[Posición],0))),""),""))</f>
        <v/>
      </c>
      <c r="C61" s="21" t="str">
        <f ca="1">IFERROR(IF(N(INDEX(Productos[Precio de oferta (opcional)],MATCH(57,Productos[Posición],0)))&gt;0,INDEX(Productos[Precio de oferta (opcional)],MATCH(57,Productos[Posición],0)),INDEX(Productos[Precio],MATCH(57,Productos[Posición],0))),"")</f>
        <v/>
      </c>
    </row>
    <row r="62" spans="2:3" ht="21.95" customHeight="1" x14ac:dyDescent="0.25">
      <c r="B62" s="17" t="str">
        <f ca="1">IFERROR(INDEX(Productos[Emoji (opcional)],MATCH(58,Productos[Posición],0))&amp;" "&amp;INDEX(Productos[Producto],MATCH(58,Productos[Posición],0))&amp;IF(INDEX(Productos[Disponible],MATCH(58,Productos[Posición],0))="No"," (agotado)",""),IFERROR(IF(INDEX(Productos[Nuevo grupo],MATCH(58+1,Productos[Posición],0))=1,UPPER(INDEX(Productos[Categoría],MATCH(58+1,Productos[Posición],0))),""),""))</f>
        <v/>
      </c>
      <c r="C62" s="21" t="str">
        <f ca="1">IFERROR(IF(N(INDEX(Productos[Precio de oferta (opcional)],MATCH(58,Productos[Posición],0)))&gt;0,INDEX(Productos[Precio de oferta (opcional)],MATCH(58,Productos[Posición],0)),INDEX(Productos[Precio],MATCH(58,Productos[Posición],0))),"")</f>
        <v/>
      </c>
    </row>
    <row r="63" spans="2:3" ht="21.95" customHeight="1" x14ac:dyDescent="0.25">
      <c r="B63" s="17" t="str">
        <f ca="1">IFERROR(INDEX(Productos[Emoji (opcional)],MATCH(59,Productos[Posición],0))&amp;" "&amp;INDEX(Productos[Producto],MATCH(59,Productos[Posición],0))&amp;IF(INDEX(Productos[Disponible],MATCH(59,Productos[Posición],0))="No"," (agotado)",""),IFERROR(IF(INDEX(Productos[Nuevo grupo],MATCH(59+1,Productos[Posición],0))=1,UPPER(INDEX(Productos[Categoría],MATCH(59+1,Productos[Posición],0))),""),""))</f>
        <v/>
      </c>
      <c r="C63" s="21" t="str">
        <f ca="1">IFERROR(IF(N(INDEX(Productos[Precio de oferta (opcional)],MATCH(59,Productos[Posición],0)))&gt;0,INDEX(Productos[Precio de oferta (opcional)],MATCH(59,Productos[Posición],0)),INDEX(Productos[Precio],MATCH(59,Productos[Posición],0))),"")</f>
        <v/>
      </c>
    </row>
    <row r="64" spans="2:3" ht="21.95" customHeight="1" x14ac:dyDescent="0.25">
      <c r="B64" s="17" t="str">
        <f ca="1">IFERROR(INDEX(Productos[Emoji (opcional)],MATCH(60,Productos[Posición],0))&amp;" "&amp;INDEX(Productos[Producto],MATCH(60,Productos[Posición],0))&amp;IF(INDEX(Productos[Disponible],MATCH(60,Productos[Posición],0))="No"," (agotado)",""),IFERROR(IF(INDEX(Productos[Nuevo grupo],MATCH(60+1,Productos[Posición],0))=1,UPPER(INDEX(Productos[Categoría],MATCH(60+1,Productos[Posición],0))),""),""))</f>
        <v/>
      </c>
      <c r="C64" s="21" t="str">
        <f ca="1">IFERROR(IF(N(INDEX(Productos[Precio de oferta (opcional)],MATCH(60,Productos[Posición],0)))&gt;0,INDEX(Productos[Precio de oferta (opcional)],MATCH(60,Productos[Posición],0)),INDEX(Productos[Precio],MATCH(60,Productos[Posición],0))),"")</f>
        <v/>
      </c>
    </row>
    <row r="66" spans="2:2" x14ac:dyDescent="0.25">
      <c r="B66" s="3" t="str">
        <f>"🕒 "&amp;Horario&amp;"   🚚 "&amp;Entrega</f>
        <v>🕒 Lunes a sábado, 9:00 a 20:00   🚚 Despacho a domicilio en tu comuna</v>
      </c>
    </row>
    <row r="67" spans="2:2" x14ac:dyDescent="0.25">
      <c r="B67" s="3" t="str">
        <f>"💳 "&amp;Pagos</f>
        <v>💳 Efectivo, transferencia y tarjeta</v>
      </c>
    </row>
  </sheetData>
  <conditionalFormatting sqref="B5:C64">
    <cfRule type="expression" dxfId="1" priority="1" stopIfTrue="1">
      <formula>_xludf.AND($B5&lt;&gt;"",$C5="")</formula>
    </cfRule>
    <cfRule type="expression" dxfId="0" priority="2" stopIfTrue="1">
      <formula>$C5&lt;&gt;""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Inicio</vt:lpstr>
      <vt:lpstr>Mis datos</vt:lpstr>
      <vt:lpstr>Productos</vt:lpstr>
      <vt:lpstr>Lista para WhatsApp</vt:lpstr>
      <vt:lpstr>Catálogo</vt:lpstr>
      <vt:lpstr>Catálogo!Área_de_impresión</vt:lpstr>
      <vt:lpstr>Entrega</vt:lpstr>
      <vt:lpstr>Fono</vt:lpstr>
      <vt:lpstr>Horario</vt:lpstr>
      <vt:lpstr>ListaSiNo</vt:lpstr>
      <vt:lpstr>Negocio</vt:lpstr>
      <vt:lpstr>Pagos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GAMU GROUP</dc:creator>
  <cp:lastModifiedBy>GAMU GROUP</cp:lastModifiedBy>
  <dcterms:created xsi:type="dcterms:W3CDTF">2026-10-03T18:15:58Z</dcterms:created>
  <dcterms:modified xsi:type="dcterms:W3CDTF">2026-10-03T18:16:00Z</dcterms:modified>
</cp:coreProperties>
</file>